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-90" yWindow="-90" windowWidth="20730" windowHeight="11760" tabRatio="864" firstSheet="1" activeTab="2"/>
  </bookViews>
  <sheets>
    <sheet name="Change Log" sheetId="9" r:id="rId1"/>
    <sheet name="Instructions" sheetId="10" r:id="rId2"/>
    <sheet name="18 Holes - 2 Tees" sheetId="2" r:id="rId3"/>
    <sheet name="18 Holes - 3 Tees" sheetId="4" r:id="rId4"/>
    <sheet name="9 Holes - 2 Tees" sheetId="3" r:id="rId5"/>
    <sheet name="Fourball Match Play" sheetId="8" r:id="rId6"/>
    <sheet name="Foursomes Greensomes" sheetId="5" r:id="rId7"/>
    <sheet name="Scrambles" sheetId="6" r:id="rId8"/>
    <sheet name="Team Competitions" sheetId="7" r:id="rId9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6" i="3" l="1"/>
  <c r="F46" i="3"/>
  <c r="H47" i="3" l="1"/>
  <c r="N40" i="8"/>
  <c r="K40" i="8"/>
  <c r="F34" i="4"/>
  <c r="E34" i="4"/>
  <c r="D34" i="4"/>
  <c r="P13" i="4"/>
  <c r="K12" i="4"/>
  <c r="H12" i="4"/>
  <c r="F12" i="4"/>
  <c r="D53" i="5"/>
  <c r="Q13" i="8"/>
  <c r="N34" i="8"/>
  <c r="K34" i="8"/>
  <c r="H34" i="8"/>
  <c r="H40" i="8" s="1"/>
  <c r="S12" i="8"/>
  <c r="S11" i="8"/>
  <c r="S10" i="8"/>
  <c r="H37" i="8" s="1"/>
  <c r="S9" i="8"/>
  <c r="F37" i="8" s="1"/>
  <c r="F34" i="8"/>
  <c r="F40" i="8" s="1"/>
  <c r="L28" i="8"/>
  <c r="R12" i="8"/>
  <c r="Q12" i="8"/>
  <c r="R11" i="8"/>
  <c r="N36" i="8" s="1"/>
  <c r="Q11" i="8"/>
  <c r="R10" i="8"/>
  <c r="Q10" i="8"/>
  <c r="K12" i="8"/>
  <c r="R9" i="8"/>
  <c r="F36" i="8" s="1"/>
  <c r="Q9" i="8"/>
  <c r="F35" i="8" s="1"/>
  <c r="H36" i="8" l="1"/>
  <c r="H35" i="8"/>
  <c r="N35" i="8"/>
  <c r="K37" i="8"/>
  <c r="R13" i="8"/>
  <c r="T10" i="8" s="1"/>
  <c r="N37" i="8"/>
  <c r="F39" i="8"/>
  <c r="F42" i="8" s="1"/>
  <c r="K35" i="8"/>
  <c r="K36" i="8"/>
  <c r="F12" i="8"/>
  <c r="S13" i="8" s="1"/>
  <c r="H12" i="8"/>
  <c r="D49" i="6"/>
  <c r="D48" i="6"/>
  <c r="H50" i="7"/>
  <c r="I50" i="7"/>
  <c r="I49" i="7"/>
  <c r="H49" i="7"/>
  <c r="I48" i="7"/>
  <c r="H48" i="7"/>
  <c r="I47" i="7"/>
  <c r="H47" i="7"/>
  <c r="E38" i="3"/>
  <c r="D38" i="3"/>
  <c r="E35" i="3"/>
  <c r="D35" i="3"/>
  <c r="E34" i="3"/>
  <c r="D34" i="3"/>
  <c r="E31" i="3"/>
  <c r="D31" i="3"/>
  <c r="K48" i="4"/>
  <c r="K52" i="4" s="1"/>
  <c r="H48" i="4"/>
  <c r="H52" i="4" s="1"/>
  <c r="F48" i="4"/>
  <c r="F52" i="4" s="1"/>
  <c r="E39" i="2"/>
  <c r="D39" i="2"/>
  <c r="E36" i="2"/>
  <c r="D36" i="2"/>
  <c r="E35" i="2"/>
  <c r="D35" i="2"/>
  <c r="D31" i="2"/>
  <c r="E31" i="2"/>
  <c r="H48" i="2"/>
  <c r="H52" i="2" s="1"/>
  <c r="F44" i="8" l="1"/>
  <c r="F45" i="8" s="1"/>
  <c r="F46" i="8" s="1"/>
  <c r="F47" i="8" s="1"/>
  <c r="H39" i="8"/>
  <c r="N39" i="8"/>
  <c r="T9" i="8"/>
  <c r="F14" i="8" s="1"/>
  <c r="T11" i="8"/>
  <c r="K14" i="8" s="1"/>
  <c r="K39" i="8"/>
  <c r="H14" i="8"/>
  <c r="F48" i="2"/>
  <c r="F52" i="2" s="1"/>
  <c r="G35" i="5"/>
  <c r="G34" i="5"/>
  <c r="E32" i="3"/>
  <c r="D32" i="3"/>
  <c r="F48" i="8" l="1"/>
  <c r="F49" i="8" s="1"/>
  <c r="F23" i="8" s="1"/>
  <c r="N42" i="8"/>
  <c r="H51" i="8"/>
  <c r="H24" i="8" s="1"/>
  <c r="H42" i="8"/>
  <c r="K42" i="8"/>
  <c r="F51" i="8"/>
  <c r="N51" i="8"/>
  <c r="N24" i="8" s="1"/>
  <c r="K51" i="8"/>
  <c r="K24" i="8" s="1"/>
  <c r="Z9" i="7"/>
  <c r="X9" i="7"/>
  <c r="V9" i="7"/>
  <c r="V10" i="7" s="1"/>
  <c r="V11" i="7" s="1"/>
  <c r="Z9" i="6"/>
  <c r="X9" i="6"/>
  <c r="V9" i="6"/>
  <c r="V10" i="6" s="1"/>
  <c r="V11" i="6" s="1"/>
  <c r="Z9" i="5"/>
  <c r="Z10" i="5" s="1"/>
  <c r="Z11" i="5" s="1"/>
  <c r="X9" i="5"/>
  <c r="X10" i="5" s="1"/>
  <c r="X11" i="5" s="1"/>
  <c r="V9" i="5"/>
  <c r="V10" i="5" s="1"/>
  <c r="V11" i="5" s="1"/>
  <c r="W9" i="4"/>
  <c r="W10" i="4" s="1"/>
  <c r="U9" i="4"/>
  <c r="U12" i="4" s="1"/>
  <c r="P10" i="4" s="1"/>
  <c r="S9" i="4"/>
  <c r="S10" i="4" s="1"/>
  <c r="N9" i="4"/>
  <c r="O9" i="4"/>
  <c r="N10" i="4"/>
  <c r="O10" i="4"/>
  <c r="N11" i="4"/>
  <c r="O11" i="4"/>
  <c r="M9" i="2"/>
  <c r="M10" i="2" s="1"/>
  <c r="M11" i="2" s="1"/>
  <c r="K9" i="2"/>
  <c r="T39" i="6"/>
  <c r="T40" i="6"/>
  <c r="T41" i="6"/>
  <c r="T38" i="6"/>
  <c r="F55" i="8" l="1"/>
  <c r="H44" i="8"/>
  <c r="H45" i="8" s="1"/>
  <c r="N44" i="8"/>
  <c r="N45" i="8" s="1"/>
  <c r="K44" i="8"/>
  <c r="K45" i="8" s="1"/>
  <c r="F24" i="8"/>
  <c r="O12" i="4"/>
  <c r="F39" i="4" s="1"/>
  <c r="U10" i="4"/>
  <c r="U11" i="4" s="1"/>
  <c r="X10" i="6"/>
  <c r="X11" i="6" s="1"/>
  <c r="X12" i="6" s="1"/>
  <c r="H12" i="6" s="1"/>
  <c r="N12" i="4"/>
  <c r="X12" i="5"/>
  <c r="H12" i="5" s="1"/>
  <c r="Z12" i="5"/>
  <c r="K12" i="5" s="1"/>
  <c r="X10" i="7"/>
  <c r="X11" i="7" s="1"/>
  <c r="X12" i="7" s="1"/>
  <c r="H12" i="7" s="1"/>
  <c r="V12" i="7"/>
  <c r="F12" i="7" s="1"/>
  <c r="S9" i="7" s="1"/>
  <c r="Z10" i="7"/>
  <c r="Z11" i="7" s="1"/>
  <c r="Z12" i="7" s="1"/>
  <c r="K12" i="7" s="1"/>
  <c r="V12" i="6"/>
  <c r="F12" i="6" s="1"/>
  <c r="Z10" i="6"/>
  <c r="Z11" i="6" s="1"/>
  <c r="Z12" i="6" s="1"/>
  <c r="K12" i="6" s="1"/>
  <c r="V12" i="5"/>
  <c r="F12" i="5" s="1"/>
  <c r="W11" i="4"/>
  <c r="W12" i="4" s="1"/>
  <c r="P11" i="4" s="1"/>
  <c r="S11" i="4"/>
  <c r="S12" i="4" s="1"/>
  <c r="P9" i="4" s="1"/>
  <c r="M12" i="2"/>
  <c r="H12" i="2" s="1"/>
  <c r="K10" i="2"/>
  <c r="K11" i="2" s="1"/>
  <c r="K12" i="2" s="1"/>
  <c r="F12" i="2" s="1"/>
  <c r="G50" i="7"/>
  <c r="G49" i="7"/>
  <c r="G48" i="7"/>
  <c r="G47" i="7"/>
  <c r="M39" i="7"/>
  <c r="L39" i="7"/>
  <c r="D50" i="7"/>
  <c r="D49" i="7"/>
  <c r="D48" i="7"/>
  <c r="D47" i="7"/>
  <c r="L28" i="7"/>
  <c r="G28" i="7"/>
  <c r="R11" i="7"/>
  <c r="Q11" i="7"/>
  <c r="R10" i="7"/>
  <c r="Q10" i="7"/>
  <c r="R9" i="7"/>
  <c r="Q9" i="7"/>
  <c r="E34" i="2" l="1"/>
  <c r="D34" i="2"/>
  <c r="H46" i="8"/>
  <c r="H47" i="8" s="1"/>
  <c r="K46" i="8"/>
  <c r="N46" i="8"/>
  <c r="E39" i="4"/>
  <c r="F36" i="4"/>
  <c r="E31" i="4"/>
  <c r="D39" i="4"/>
  <c r="F31" i="4"/>
  <c r="E35" i="4"/>
  <c r="F35" i="4"/>
  <c r="D36" i="4"/>
  <c r="D35" i="4"/>
  <c r="E36" i="4"/>
  <c r="D31" i="4"/>
  <c r="J53" i="7"/>
  <c r="J57" i="7" s="1"/>
  <c r="E48" i="7"/>
  <c r="H23" i="7" s="1"/>
  <c r="E50" i="7"/>
  <c r="N23" i="7" s="1"/>
  <c r="L53" i="7"/>
  <c r="L57" i="7" s="1"/>
  <c r="K53" i="7"/>
  <c r="K57" i="7" s="1"/>
  <c r="E49" i="7"/>
  <c r="K23" i="7" s="1"/>
  <c r="E47" i="7"/>
  <c r="F23" i="7" s="1"/>
  <c r="I53" i="7"/>
  <c r="I57" i="7" s="1"/>
  <c r="S11" i="7"/>
  <c r="R13" i="7"/>
  <c r="P12" i="4"/>
  <c r="Q13" i="7"/>
  <c r="L42" i="7"/>
  <c r="O24" i="7" s="1"/>
  <c r="S10" i="7"/>
  <c r="N47" i="8" l="1"/>
  <c r="N48" i="8" s="1"/>
  <c r="N49" i="8" s="1"/>
  <c r="K47" i="8"/>
  <c r="K48" i="8" s="1"/>
  <c r="K49" i="8" s="1"/>
  <c r="J54" i="7"/>
  <c r="J55" i="7" s="1"/>
  <c r="J56" i="7" s="1"/>
  <c r="F48" i="7" s="1"/>
  <c r="H48" i="8"/>
  <c r="H49" i="8" s="1"/>
  <c r="I54" i="7"/>
  <c r="I55" i="7" s="1"/>
  <c r="I56" i="7" s="1"/>
  <c r="F47" i="7" s="1"/>
  <c r="F33" i="7"/>
  <c r="D35" i="7"/>
  <c r="E36" i="7"/>
  <c r="F37" i="7"/>
  <c r="F32" i="7"/>
  <c r="D34" i="7"/>
  <c r="E35" i="7"/>
  <c r="F36" i="7"/>
  <c r="D38" i="7"/>
  <c r="E32" i="7"/>
  <c r="D33" i="7"/>
  <c r="E34" i="7"/>
  <c r="F35" i="7"/>
  <c r="D37" i="7"/>
  <c r="E38" i="7"/>
  <c r="D32" i="7"/>
  <c r="E33" i="7"/>
  <c r="F34" i="7"/>
  <c r="D36" i="7"/>
  <c r="E37" i="7"/>
  <c r="F38" i="7"/>
  <c r="L54" i="7"/>
  <c r="L55" i="7" s="1"/>
  <c r="L56" i="7" s="1"/>
  <c r="F50" i="7" s="1"/>
  <c r="K54" i="7"/>
  <c r="K55" i="7" s="1"/>
  <c r="K56" i="7" s="1"/>
  <c r="F49" i="7" s="1"/>
  <c r="S13" i="7"/>
  <c r="G24" i="7"/>
  <c r="F24" i="7" s="1"/>
  <c r="L24" i="7"/>
  <c r="N24" i="7"/>
  <c r="I24" i="7"/>
  <c r="G61" i="7" s="1"/>
  <c r="J38" i="5"/>
  <c r="I38" i="5"/>
  <c r="H38" i="5"/>
  <c r="N55" i="8" l="1"/>
  <c r="N23" i="8"/>
  <c r="K55" i="8"/>
  <c r="K26" i="8" s="1"/>
  <c r="K23" i="8"/>
  <c r="H23" i="8"/>
  <c r="H55" i="8"/>
  <c r="Q50" i="8" s="1"/>
  <c r="F26" i="8"/>
  <c r="Q49" i="8"/>
  <c r="K24" i="7"/>
  <c r="F39" i="7"/>
  <c r="J42" i="7" s="1"/>
  <c r="K14" i="7" s="1"/>
  <c r="E39" i="7"/>
  <c r="D39" i="7"/>
  <c r="H24" i="7"/>
  <c r="K49" i="4"/>
  <c r="K50" i="4" s="1"/>
  <c r="K51" i="4" s="1"/>
  <c r="K21" i="4" s="1"/>
  <c r="H49" i="4"/>
  <c r="H50" i="4" s="1"/>
  <c r="H51" i="4" s="1"/>
  <c r="H21" i="4" s="1"/>
  <c r="F49" i="4"/>
  <c r="F50" i="4" s="1"/>
  <c r="F51" i="4" s="1"/>
  <c r="F21" i="4" s="1"/>
  <c r="F49" i="2"/>
  <c r="F50" i="2" s="1"/>
  <c r="Q51" i="8" l="1"/>
  <c r="H26" i="8"/>
  <c r="N26" i="8"/>
  <c r="Q52" i="8"/>
  <c r="I42" i="7"/>
  <c r="H14" i="7" s="1"/>
  <c r="H42" i="7"/>
  <c r="F14" i="7" s="1"/>
  <c r="H49" i="2"/>
  <c r="H50" i="2" s="1"/>
  <c r="H51" i="2" s="1"/>
  <c r="H21" i="2" s="1"/>
  <c r="F51" i="2"/>
  <c r="Q53" i="8" l="1"/>
  <c r="F28" i="8" s="1"/>
  <c r="H25" i="7"/>
  <c r="J61" i="7" s="1"/>
  <c r="J62" i="7" s="1"/>
  <c r="J63" i="7" s="1"/>
  <c r="J64" i="7" s="1"/>
  <c r="H27" i="7" s="1"/>
  <c r="N25" i="7"/>
  <c r="L61" i="7" s="1"/>
  <c r="L62" i="7" s="1"/>
  <c r="L63" i="7" s="1"/>
  <c r="L64" i="7" s="1"/>
  <c r="N27" i="7" s="1"/>
  <c r="K25" i="7"/>
  <c r="K61" i="7" s="1"/>
  <c r="F25" i="7"/>
  <c r="I61" i="7" s="1"/>
  <c r="I62" i="7" s="1"/>
  <c r="I63" i="7" s="1"/>
  <c r="I64" i="7" s="1"/>
  <c r="F27" i="7" s="1"/>
  <c r="F21" i="2"/>
  <c r="D50" i="6"/>
  <c r="D47" i="6"/>
  <c r="N28" i="8" l="1"/>
  <c r="H28" i="8"/>
  <c r="K28" i="8"/>
  <c r="K62" i="7"/>
  <c r="K63" i="7" s="1"/>
  <c r="K64" i="7" s="1"/>
  <c r="K27" i="7" s="1"/>
  <c r="N26" i="7"/>
  <c r="F26" i="7"/>
  <c r="H26" i="7"/>
  <c r="X17" i="6"/>
  <c r="I36" i="6"/>
  <c r="H36" i="6"/>
  <c r="M35" i="6"/>
  <c r="L35" i="6"/>
  <c r="K35" i="6"/>
  <c r="M34" i="6"/>
  <c r="L34" i="6"/>
  <c r="K34" i="6"/>
  <c r="M33" i="6"/>
  <c r="K38" i="6" s="1"/>
  <c r="L33" i="6"/>
  <c r="K33" i="6"/>
  <c r="M32" i="6"/>
  <c r="K37" i="6" s="1"/>
  <c r="L32" i="6"/>
  <c r="K32" i="6"/>
  <c r="L28" i="6"/>
  <c r="G28" i="6"/>
  <c r="R12" i="6"/>
  <c r="Q12" i="6"/>
  <c r="S12" i="6"/>
  <c r="S11" i="6"/>
  <c r="S10" i="6"/>
  <c r="S9" i="6"/>
  <c r="R11" i="6"/>
  <c r="Q11" i="6"/>
  <c r="R10" i="6"/>
  <c r="Q10" i="6"/>
  <c r="R9" i="6"/>
  <c r="Q9" i="6"/>
  <c r="K47" i="6" l="1"/>
  <c r="L37" i="6"/>
  <c r="M37" i="6"/>
  <c r="L36" i="6"/>
  <c r="M38" i="6"/>
  <c r="M40" i="6"/>
  <c r="M39" i="6"/>
  <c r="L39" i="6"/>
  <c r="L38" i="6"/>
  <c r="K48" i="6" s="1"/>
  <c r="L40" i="6"/>
  <c r="K40" i="6"/>
  <c r="K50" i="6" s="1"/>
  <c r="R13" i="6"/>
  <c r="S13" i="6"/>
  <c r="Q13" i="6"/>
  <c r="K39" i="6"/>
  <c r="K49" i="6" s="1"/>
  <c r="L28" i="5"/>
  <c r="G28" i="5"/>
  <c r="L47" i="6" l="1"/>
  <c r="L48" i="6"/>
  <c r="H49" i="6"/>
  <c r="I49" i="6" s="1"/>
  <c r="H48" i="6"/>
  <c r="I48" i="6" s="1"/>
  <c r="H50" i="6"/>
  <c r="I50" i="6" s="1"/>
  <c r="H47" i="6"/>
  <c r="I47" i="6" s="1"/>
  <c r="G33" i="6"/>
  <c r="G34" i="6"/>
  <c r="G35" i="6"/>
  <c r="G32" i="6"/>
  <c r="N35" i="5"/>
  <c r="M35" i="5"/>
  <c r="L35" i="5"/>
  <c r="N34" i="5"/>
  <c r="M34" i="5"/>
  <c r="L34" i="5"/>
  <c r="N33" i="5"/>
  <c r="M33" i="5"/>
  <c r="L33" i="5"/>
  <c r="N32" i="5"/>
  <c r="L39" i="5" s="1"/>
  <c r="M32" i="5"/>
  <c r="M36" i="5" s="1"/>
  <c r="L32" i="5"/>
  <c r="R12" i="5"/>
  <c r="Q12" i="5"/>
  <c r="R11" i="5"/>
  <c r="Q11" i="5"/>
  <c r="R10" i="5"/>
  <c r="Q10" i="5"/>
  <c r="R9" i="5"/>
  <c r="Q9" i="5"/>
  <c r="E48" i="6" l="1"/>
  <c r="F48" i="6" s="1"/>
  <c r="E47" i="6"/>
  <c r="F47" i="6" s="1"/>
  <c r="N42" i="5"/>
  <c r="N40" i="5"/>
  <c r="M42" i="5"/>
  <c r="M40" i="5"/>
  <c r="L41" i="5"/>
  <c r="N41" i="5"/>
  <c r="N39" i="5"/>
  <c r="M39" i="5"/>
  <c r="F63" i="5" s="1"/>
  <c r="M41" i="5"/>
  <c r="G36" i="6"/>
  <c r="N35" i="6" s="1"/>
  <c r="L50" i="6"/>
  <c r="E50" i="6"/>
  <c r="E49" i="6"/>
  <c r="L49" i="6"/>
  <c r="S11" i="5"/>
  <c r="L40" i="5"/>
  <c r="H64" i="5" s="1"/>
  <c r="R13" i="5"/>
  <c r="E36" i="6"/>
  <c r="H14" i="6" s="1"/>
  <c r="N33" i="6" s="1"/>
  <c r="F36" i="6"/>
  <c r="K14" i="6" s="1"/>
  <c r="N34" i="6" s="1"/>
  <c r="F14" i="6"/>
  <c r="Q13" i="5"/>
  <c r="L42" i="5"/>
  <c r="S12" i="5"/>
  <c r="S9" i="5"/>
  <c r="S10" i="5"/>
  <c r="L64" i="5" l="1"/>
  <c r="O64" i="5"/>
  <c r="F64" i="5"/>
  <c r="H23" i="6"/>
  <c r="T23" i="6" s="1"/>
  <c r="F23" i="6"/>
  <c r="T22" i="6" s="1"/>
  <c r="F50" i="6"/>
  <c r="N23" i="6"/>
  <c r="F49" i="6"/>
  <c r="K23" i="6"/>
  <c r="R24" i="6" s="1"/>
  <c r="L63" i="5"/>
  <c r="H63" i="5"/>
  <c r="O63" i="5"/>
  <c r="F49" i="5"/>
  <c r="G36" i="5"/>
  <c r="G37" i="5"/>
  <c r="N32" i="6"/>
  <c r="G32" i="5"/>
  <c r="O35" i="5" s="1"/>
  <c r="S13" i="5"/>
  <c r="G33" i="5"/>
  <c r="O49" i="5" l="1"/>
  <c r="O50" i="5" s="1"/>
  <c r="V29" i="6"/>
  <c r="W29" i="6" s="1"/>
  <c r="R29" i="6"/>
  <c r="R23" i="6"/>
  <c r="S23" i="6"/>
  <c r="S22" i="6"/>
  <c r="R22" i="6"/>
  <c r="S24" i="6"/>
  <c r="R25" i="6"/>
  <c r="F50" i="5"/>
  <c r="H49" i="5"/>
  <c r="L49" i="5"/>
  <c r="N37" i="6"/>
  <c r="N40" i="6"/>
  <c r="N25" i="6" s="1"/>
  <c r="N39" i="6"/>
  <c r="K25" i="6" s="1"/>
  <c r="N38" i="6"/>
  <c r="H25" i="6" s="1"/>
  <c r="G38" i="5"/>
  <c r="F38" i="5"/>
  <c r="K14" i="5" s="1"/>
  <c r="O34" i="5" s="1"/>
  <c r="E38" i="5"/>
  <c r="H14" i="5" s="1"/>
  <c r="O33" i="5" s="1"/>
  <c r="G41" i="4"/>
  <c r="F22" i="4" l="1"/>
  <c r="K22" i="4"/>
  <c r="H22" i="4"/>
  <c r="O51" i="5"/>
  <c r="O52" i="5" s="1"/>
  <c r="F51" i="5"/>
  <c r="F52" i="5" s="1"/>
  <c r="F53" i="5" s="1"/>
  <c r="V28" i="6"/>
  <c r="W28" i="6" s="1"/>
  <c r="R28" i="6"/>
  <c r="S28" i="6" s="1"/>
  <c r="Z28" i="6"/>
  <c r="AA28" i="6" s="1"/>
  <c r="R30" i="6"/>
  <c r="S30" i="6" s="1"/>
  <c r="V27" i="6"/>
  <c r="W27" i="6" s="1"/>
  <c r="Z27" i="6"/>
  <c r="R27" i="6"/>
  <c r="S27" i="6" s="1"/>
  <c r="L50" i="5"/>
  <c r="H50" i="5"/>
  <c r="D38" i="5"/>
  <c r="F14" i="5" s="1"/>
  <c r="O32" i="5" s="1"/>
  <c r="O40" i="5" s="1"/>
  <c r="H25" i="5" s="1"/>
  <c r="S29" i="6"/>
  <c r="D32" i="4"/>
  <c r="E32" i="4"/>
  <c r="F32" i="4"/>
  <c r="E22" i="4"/>
  <c r="O53" i="5" l="1"/>
  <c r="N23" i="5" s="1"/>
  <c r="F23" i="5"/>
  <c r="L51" i="5"/>
  <c r="L52" i="5" s="1"/>
  <c r="H51" i="5"/>
  <c r="H52" i="5" s="1"/>
  <c r="V32" i="6"/>
  <c r="W34" i="6"/>
  <c r="V34" i="6"/>
  <c r="V33" i="6"/>
  <c r="W33" i="6"/>
  <c r="W32" i="6"/>
  <c r="AA27" i="6"/>
  <c r="Z32" i="6"/>
  <c r="Z33" i="6"/>
  <c r="R34" i="6"/>
  <c r="R35" i="6"/>
  <c r="R32" i="6"/>
  <c r="R33" i="6"/>
  <c r="O41" i="5"/>
  <c r="K25" i="5" s="1"/>
  <c r="O42" i="5"/>
  <c r="N25" i="5" s="1"/>
  <c r="O39" i="5"/>
  <c r="F25" i="5" s="1"/>
  <c r="G25" i="5" s="1"/>
  <c r="S32" i="6"/>
  <c r="S34" i="6"/>
  <c r="S35" i="6"/>
  <c r="S33" i="6"/>
  <c r="F41" i="4"/>
  <c r="K14" i="4" s="1"/>
  <c r="K23" i="4" s="1"/>
  <c r="K56" i="4" s="1"/>
  <c r="K57" i="4" s="1"/>
  <c r="K58" i="4" s="1"/>
  <c r="K59" i="4" s="1"/>
  <c r="K25" i="4" s="1"/>
  <c r="H53" i="5" l="1"/>
  <c r="H23" i="5" s="1"/>
  <c r="L53" i="5"/>
  <c r="K23" i="5" s="1"/>
  <c r="X32" i="6"/>
  <c r="T35" i="6"/>
  <c r="S41" i="6" s="1"/>
  <c r="X34" i="6"/>
  <c r="T32" i="6"/>
  <c r="X33" i="6"/>
  <c r="T34" i="6"/>
  <c r="T33" i="6"/>
  <c r="AA33" i="6"/>
  <c r="AB33" i="6" s="1"/>
  <c r="AA32" i="6"/>
  <c r="AB32" i="6" s="1"/>
  <c r="E41" i="4"/>
  <c r="H14" i="4" s="1"/>
  <c r="H23" i="4" s="1"/>
  <c r="H56" i="4" s="1"/>
  <c r="H57" i="4" s="1"/>
  <c r="H58" i="4" s="1"/>
  <c r="H59" i="4" s="1"/>
  <c r="H25" i="4" s="1"/>
  <c r="D41" i="4"/>
  <c r="F14" i="4" s="1"/>
  <c r="F23" i="4" s="1"/>
  <c r="F56" i="4" s="1"/>
  <c r="F57" i="4" s="1"/>
  <c r="F58" i="4" s="1"/>
  <c r="F59" i="4" s="1"/>
  <c r="F25" i="4" s="1"/>
  <c r="L25" i="5"/>
  <c r="H12" i="3"/>
  <c r="P39" i="5" l="1"/>
  <c r="F24" i="5" s="1"/>
  <c r="P40" i="5"/>
  <c r="H24" i="5" s="1"/>
  <c r="P41" i="5"/>
  <c r="K24" i="5" s="1"/>
  <c r="P42" i="5"/>
  <c r="N24" i="5" s="1"/>
  <c r="S40" i="6"/>
  <c r="S39" i="6"/>
  <c r="S38" i="6"/>
  <c r="L24" i="5" l="1"/>
  <c r="M57" i="5" s="1"/>
  <c r="M58" i="5" s="1"/>
  <c r="M59" i="5" s="1"/>
  <c r="M60" i="5" s="1"/>
  <c r="L27" i="5" s="1"/>
  <c r="G24" i="5"/>
  <c r="G57" i="5" s="1"/>
  <c r="G58" i="5" s="1"/>
  <c r="G59" i="5" s="1"/>
  <c r="G60" i="5" s="1"/>
  <c r="G27" i="5" s="1"/>
  <c r="O39" i="6"/>
  <c r="K24" i="6" s="1"/>
  <c r="K26" i="6" s="1"/>
  <c r="O40" i="6"/>
  <c r="O24" i="6" s="1"/>
  <c r="O37" i="6"/>
  <c r="G24" i="6" s="1"/>
  <c r="O38" i="6"/>
  <c r="I24" i="6" s="1"/>
  <c r="F40" i="3"/>
  <c r="E40" i="3"/>
  <c r="D40" i="3"/>
  <c r="F12" i="3"/>
  <c r="F47" i="3" s="1"/>
  <c r="F48" i="3" l="1"/>
  <c r="F49" i="3" s="1"/>
  <c r="F50" i="3" s="1"/>
  <c r="I27" i="5"/>
  <c r="L29" i="5" s="1"/>
  <c r="L24" i="6"/>
  <c r="F24" i="6"/>
  <c r="F26" i="6" s="1"/>
  <c r="H24" i="6"/>
  <c r="H26" i="6" s="1"/>
  <c r="N24" i="6"/>
  <c r="N26" i="6" s="1"/>
  <c r="F14" i="3"/>
  <c r="E22" i="3"/>
  <c r="H14" i="3"/>
  <c r="E32" i="2"/>
  <c r="D32" i="2"/>
  <c r="F41" i="2"/>
  <c r="F51" i="3" l="1"/>
  <c r="H23" i="3"/>
  <c r="F23" i="3"/>
  <c r="H48" i="3"/>
  <c r="H49" i="3" s="1"/>
  <c r="H50" i="3" s="1"/>
  <c r="H51" i="3"/>
  <c r="H21" i="3" s="1"/>
  <c r="H22" i="3" s="1"/>
  <c r="H53" i="3" s="1"/>
  <c r="F22" i="2"/>
  <c r="H22" i="2"/>
  <c r="G29" i="5"/>
  <c r="I27" i="6"/>
  <c r="E22" i="2"/>
  <c r="E41" i="2"/>
  <c r="H14" i="2" s="1"/>
  <c r="H23" i="2" s="1"/>
  <c r="D41" i="2"/>
  <c r="F14" i="2" s="1"/>
  <c r="F23" i="2" s="1"/>
  <c r="F21" i="3" l="1"/>
  <c r="F22" i="3" s="1"/>
  <c r="F53" i="3" s="1"/>
  <c r="F54" i="3" s="1"/>
  <c r="F55" i="3" s="1"/>
  <c r="F56" i="3" s="1"/>
  <c r="F25" i="3" s="1"/>
  <c r="H54" i="3"/>
  <c r="H55" i="3" s="1"/>
  <c r="H56" i="3" s="1"/>
  <c r="H25" i="3" s="1"/>
  <c r="H56" i="2"/>
  <c r="H57" i="2" s="1"/>
  <c r="H58" i="2" s="1"/>
  <c r="H59" i="2" s="1"/>
  <c r="H25" i="2" s="1"/>
  <c r="F56" i="2"/>
  <c r="K26" i="7"/>
  <c r="F57" i="2" l="1"/>
  <c r="F58" i="2" s="1"/>
  <c r="F59" i="2" s="1"/>
  <c r="F25" i="2" s="1"/>
</calcChain>
</file>

<file path=xl/sharedStrings.xml><?xml version="1.0" encoding="utf-8"?>
<sst xmlns="http://schemas.openxmlformats.org/spreadsheetml/2006/main" count="625" uniqueCount="180">
  <si>
    <t>Par:</t>
  </si>
  <si>
    <t>Forward Tee</t>
  </si>
  <si>
    <t>Back Tee</t>
  </si>
  <si>
    <t>Handicap Index</t>
  </si>
  <si>
    <t>Allowance</t>
  </si>
  <si>
    <t>Individual Medal</t>
  </si>
  <si>
    <t>Individual Stableford/Bogey</t>
  </si>
  <si>
    <t>Individual Matchplay</t>
  </si>
  <si>
    <t>Fourball Medal</t>
  </si>
  <si>
    <t>Fourball Stableford</t>
  </si>
  <si>
    <t>Fourball Matchplay</t>
  </si>
  <si>
    <t>Course Rating:</t>
  </si>
  <si>
    <t>Slope Rating:</t>
  </si>
  <si>
    <t>Adjustment</t>
  </si>
  <si>
    <t>Back</t>
  </si>
  <si>
    <t>Front</t>
  </si>
  <si>
    <t>CR-Par</t>
  </si>
  <si>
    <t>Handicap Index Example</t>
  </si>
  <si>
    <t>Course Handicap</t>
  </si>
  <si>
    <t>Playing Handicap</t>
  </si>
  <si>
    <t>Fourball Bogey/Par</t>
  </si>
  <si>
    <t>Choose Format Required=&gt;</t>
  </si>
  <si>
    <t>Handicap/Score Adjustment</t>
  </si>
  <si>
    <t>For Mixed Tee Events</t>
  </si>
  <si>
    <t>Individual Medal (Scratch)</t>
  </si>
  <si>
    <t>9 Holes</t>
  </si>
  <si>
    <t>England</t>
  </si>
  <si>
    <t>Wales</t>
  </si>
  <si>
    <t>Ireland</t>
  </si>
  <si>
    <t>Scotland</t>
  </si>
  <si>
    <t>Middle</t>
  </si>
  <si>
    <t>`</t>
  </si>
  <si>
    <t>CR</t>
  </si>
  <si>
    <t>Min</t>
  </si>
  <si>
    <t>Par</t>
  </si>
  <si>
    <t>Tee1</t>
  </si>
  <si>
    <t>Tee2</t>
  </si>
  <si>
    <t>Tee3</t>
  </si>
  <si>
    <t>Team Competitions</t>
  </si>
  <si>
    <t>Tee4</t>
  </si>
  <si>
    <t>Tee1`</t>
  </si>
  <si>
    <t>Player 2</t>
  </si>
  <si>
    <t>Player 3</t>
  </si>
  <si>
    <t>Player 4</t>
  </si>
  <si>
    <t>Player 1</t>
  </si>
  <si>
    <t>Tee 1</t>
  </si>
  <si>
    <t>Tee 2</t>
  </si>
  <si>
    <t>Tee 3</t>
  </si>
  <si>
    <t>Tee 4</t>
  </si>
  <si>
    <t>Tee Used:</t>
  </si>
  <si>
    <t>Slope</t>
  </si>
  <si>
    <t>Adjust</t>
  </si>
  <si>
    <t>Alowance</t>
  </si>
  <si>
    <t>Foursomes</t>
  </si>
  <si>
    <t>Team</t>
  </si>
  <si>
    <t>Greensomes</t>
  </si>
  <si>
    <t>Foursomes Medal</t>
  </si>
  <si>
    <t>Foursomes Stableford</t>
  </si>
  <si>
    <t>For Scratch Medal Adjustment is applied as a reduction to the Gross Score of players on that tee.</t>
  </si>
  <si>
    <t>Greensomes Stableford</t>
  </si>
  <si>
    <t>Greensomes Medal</t>
  </si>
  <si>
    <t>Round?</t>
  </si>
  <si>
    <t>N</t>
  </si>
  <si>
    <t>Y</t>
  </si>
  <si>
    <t>Scramble - 4 Players</t>
  </si>
  <si>
    <t>Scramble - 3 Players</t>
  </si>
  <si>
    <t>Team Handicap</t>
  </si>
  <si>
    <t>HI</t>
  </si>
  <si>
    <t>4 players</t>
  </si>
  <si>
    <t>3 players</t>
  </si>
  <si>
    <t>4 Players</t>
  </si>
  <si>
    <t>3 Players</t>
  </si>
  <si>
    <t>Course Hcp</t>
  </si>
  <si>
    <t>HI x slope</t>
  </si>
  <si>
    <t>Foursomes Matchplay</t>
  </si>
  <si>
    <t>Greensomes Matchplay</t>
  </si>
  <si>
    <t>M</t>
  </si>
  <si>
    <t>S</t>
  </si>
  <si>
    <t>P</t>
  </si>
  <si>
    <t>Team - 1 out of 4</t>
  </si>
  <si>
    <t>Team - 2 out of 4</t>
  </si>
  <si>
    <t>Team - 4 out of 4</t>
  </si>
  <si>
    <t>Team - 3 out of 4</t>
  </si>
  <si>
    <t>Team - 1 out of 3</t>
  </si>
  <si>
    <t>Team - 2 out of 3</t>
  </si>
  <si>
    <t>Team - 3 out of 3</t>
  </si>
  <si>
    <t>Medal</t>
  </si>
  <si>
    <t>Stableford</t>
  </si>
  <si>
    <t>Bogey/Par</t>
  </si>
  <si>
    <t>Stableford/Bogey</t>
  </si>
  <si>
    <t>Max</t>
  </si>
  <si>
    <t>Overall</t>
  </si>
  <si>
    <t>Stroke</t>
  </si>
  <si>
    <t>Bogey</t>
  </si>
  <si>
    <t>rounded</t>
  </si>
  <si>
    <r>
      <t xml:space="preserve">Handicap Adjustments are to be applied </t>
    </r>
    <r>
      <rPr>
        <b/>
        <sz val="11"/>
        <rFont val="Calibri"/>
        <family val="2"/>
        <scheme val="minor"/>
      </rPr>
      <t>after</t>
    </r>
    <r>
      <rPr>
        <sz val="11"/>
        <rFont val="Calibri"/>
        <family val="2"/>
        <scheme val="minor"/>
      </rPr>
      <t xml:space="preserve"> calculating any Handicap Allowance fraction for the competition format (as shown above)</t>
    </r>
  </si>
  <si>
    <r>
      <t xml:space="preserve">Handicap Adjustments are to be applied </t>
    </r>
    <r>
      <rPr>
        <b/>
        <sz val="11"/>
        <rFont val="Calibri"/>
        <family val="2"/>
        <scheme val="minor"/>
      </rPr>
      <t>after</t>
    </r>
    <r>
      <rPr>
        <sz val="11"/>
        <rFont val="Calibri"/>
        <family val="2"/>
        <scheme val="minor"/>
      </rPr>
      <t xml:space="preserve"> calculating any Handicap Allowance fraction for the competition  format (as shown above)</t>
    </r>
  </si>
  <si>
    <r>
      <t>Handicap Adjustments are to be applied a</t>
    </r>
    <r>
      <rPr>
        <b/>
        <sz val="11"/>
        <rFont val="Calibri"/>
        <family val="2"/>
        <scheme val="minor"/>
      </rPr>
      <t>fter</t>
    </r>
    <r>
      <rPr>
        <sz val="11"/>
        <rFont val="Calibri"/>
        <family val="2"/>
        <scheme val="minor"/>
      </rPr>
      <t xml:space="preserve"> calculating any Handicap Allowance fraction for the competition format (as shown above)</t>
    </r>
  </si>
  <si>
    <t>2 Players</t>
  </si>
  <si>
    <t>Scramble - 2 Players</t>
  </si>
  <si>
    <t>Integer</t>
  </si>
  <si>
    <t>decimal</t>
  </si>
  <si>
    <t>rounding</t>
  </si>
  <si>
    <t>18 hole calc</t>
  </si>
  <si>
    <t>Rest</t>
  </si>
  <si>
    <t>9 Hole Calc</t>
  </si>
  <si>
    <t>Need to work out the</t>
  </si>
  <si>
    <t>Course Handicaps depending</t>
  </si>
  <si>
    <t>on whether its 9 holes or 18 holes</t>
  </si>
  <si>
    <t>if 9 holes, need to take account of CR-Par</t>
  </si>
  <si>
    <t>otherwise not</t>
  </si>
  <si>
    <t>18 HOLE</t>
  </si>
  <si>
    <t>9 HOLE</t>
  </si>
  <si>
    <r>
      <t>Course Rating</t>
    </r>
    <r>
      <rPr>
        <vertAlign val="superscript"/>
        <sz val="10"/>
        <color theme="1"/>
        <rFont val="Calibri"/>
        <family val="2"/>
        <scheme val="minor"/>
      </rPr>
      <t>TM</t>
    </r>
    <r>
      <rPr>
        <sz val="11"/>
        <color theme="1"/>
        <rFont val="Calibri"/>
        <family val="2"/>
        <scheme val="minor"/>
      </rPr>
      <t>:</t>
    </r>
  </si>
  <si>
    <r>
      <t>Slope Rating</t>
    </r>
    <r>
      <rPr>
        <vertAlign val="superscript"/>
        <sz val="10"/>
        <color theme="1"/>
        <rFont val="Calibri"/>
        <family val="2"/>
        <scheme val="minor"/>
      </rPr>
      <t>TM</t>
    </r>
    <r>
      <rPr>
        <sz val="11"/>
        <color theme="1"/>
        <rFont val="Calibri"/>
        <family val="2"/>
        <scheme val="minor"/>
      </rPr>
      <t>:</t>
    </r>
  </si>
  <si>
    <r>
      <t>Course Handicap</t>
    </r>
    <r>
      <rPr>
        <vertAlign val="superscript"/>
        <sz val="10"/>
        <color theme="1"/>
        <rFont val="Calibri"/>
        <family val="2"/>
        <scheme val="minor"/>
      </rPr>
      <t>TM</t>
    </r>
  </si>
  <si>
    <r>
      <t>Playing Handicap</t>
    </r>
    <r>
      <rPr>
        <vertAlign val="superscript"/>
        <sz val="10"/>
        <color theme="1"/>
        <rFont val="Calibri"/>
        <family val="2"/>
        <scheme val="minor"/>
      </rPr>
      <t>TM</t>
    </r>
  </si>
  <si>
    <r>
      <t>Handicap Index</t>
    </r>
    <r>
      <rPr>
        <b/>
        <vertAlign val="superscript"/>
        <sz val="10"/>
        <color theme="1"/>
        <rFont val="Calibri"/>
        <family val="2"/>
        <scheme val="minor"/>
      </rPr>
      <t>TM</t>
    </r>
    <r>
      <rPr>
        <b/>
        <sz val="11"/>
        <color theme="1"/>
        <rFont val="Calibri"/>
        <family val="2"/>
        <scheme val="minor"/>
      </rPr>
      <t xml:space="preserve"> Example</t>
    </r>
  </si>
  <si>
    <t>+ CR-Par</t>
  </si>
  <si>
    <t>Scoring Par</t>
  </si>
  <si>
    <r>
      <t xml:space="preserve">Handicap Adjustments are to be applied </t>
    </r>
    <r>
      <rPr>
        <b/>
        <sz val="11"/>
        <color theme="9" tint="0.79998168889431442"/>
        <rFont val="Calibri"/>
        <family val="2"/>
        <scheme val="minor"/>
      </rPr>
      <t>after</t>
    </r>
    <r>
      <rPr>
        <sz val="11"/>
        <color theme="9" tint="0.79998168889431442"/>
        <rFont val="Calibri"/>
        <family val="2"/>
        <scheme val="minor"/>
      </rPr>
      <t xml:space="preserve"> calculating any Handicap Allowance fraction for the competition format (as shown above)</t>
    </r>
  </si>
  <si>
    <t>+ (CR-Par)</t>
  </si>
  <si>
    <t>Ensure this Tee is set correctly</t>
  </si>
  <si>
    <t xml:space="preserve">  Holes</t>
  </si>
  <si>
    <t xml:space="preserve"> For Scoring</t>
  </si>
  <si>
    <t xml:space="preserve"> Holes</t>
  </si>
  <si>
    <t>Fourball Matchplay Note</t>
  </si>
  <si>
    <t>The Playing Handicap generated</t>
  </si>
  <si>
    <t>is 100% - players now take 90%</t>
  </si>
  <si>
    <t>of the difference between that</t>
  </si>
  <si>
    <t>of the lowest handicapper and</t>
  </si>
  <si>
    <t>each other player in the group</t>
  </si>
  <si>
    <t>Foursomes Matchplay Note</t>
  </si>
  <si>
    <t>The combined handicap generated</t>
  </si>
  <si>
    <t>is the sum of the Course Handicaps</t>
  </si>
  <si>
    <t>of both players in the team.</t>
  </si>
  <si>
    <t>Strokes are given/taken based on 50%</t>
  </si>
  <si>
    <t>of the difference between teams</t>
  </si>
  <si>
    <t>Strokes Received</t>
  </si>
  <si>
    <t>Match Difference</t>
  </si>
  <si>
    <t>18 Hole Hcp</t>
  </si>
  <si>
    <t>9 Hole Hcp</t>
  </si>
  <si>
    <t>To Use</t>
  </si>
  <si>
    <t>Strokes Received (90%)</t>
  </si>
  <si>
    <t>Lowest HCP</t>
  </si>
  <si>
    <t>Fourball Match Play</t>
  </si>
  <si>
    <t>Now get integer</t>
  </si>
  <si>
    <t>Now get Decimal</t>
  </si>
  <si>
    <t>Add 1 if decimal is &gt; 0.5</t>
  </si>
  <si>
    <t>Now the Rounded Handicap is Integer + Add 1 if necessary</t>
  </si>
  <si>
    <t>Overall CH</t>
  </si>
  <si>
    <t>Final</t>
  </si>
  <si>
    <t>Include Match Differences</t>
  </si>
  <si>
    <t>V 1.21</t>
  </si>
  <si>
    <t>Date</t>
  </si>
  <si>
    <t>Version</t>
  </si>
  <si>
    <t>Change(s)</t>
  </si>
  <si>
    <t>Noted that in some situations the Playing Handicap was not being calculated correctly.  Identified that there was a rounding to 3dp done too early which resulted in a handicap, generally, too high.  All sheets changed to display in 4 decimal places prior to rounding, but the underlying claculations are being done to full machine precision, the 4 decimal places is simply for display purposes.</t>
  </si>
  <si>
    <t>V 1.22</t>
  </si>
  <si>
    <t>Team Competition Tab and Scramble Tab - when choosing a 3-person team (or 2 person Scramble) spurious 4th (and 3rd) team member handicap details were being displayed - this has been fixed and will no longer show.</t>
  </si>
  <si>
    <t>V 1.23</t>
  </si>
  <si>
    <t>Include option for Scratch Stableford competiitons.</t>
  </si>
  <si>
    <t>Individual Stableford/Bogey (Scratch)</t>
  </si>
  <si>
    <t>Difference between the CR-Par ratings of each tee is used by players on the tee with the highest CR-Par</t>
  </si>
  <si>
    <t>Difference between the CR-Par ratings of each tee is used by players on the tee with the higher CR-Par</t>
  </si>
  <si>
    <t>V 1.24</t>
  </si>
  <si>
    <t>Amended to reflect the calculation for 9-hole Course Handicaps (when dividing the HI by 2, round to the nearest 10th)</t>
  </si>
  <si>
    <t>Rounded HI/2</t>
  </si>
  <si>
    <t>V 1.25</t>
  </si>
  <si>
    <t xml:space="preserve">Correct 9-hole Course Handicap calculation rounding for Plus handicap golfers </t>
  </si>
  <si>
    <t>V 1.26</t>
  </si>
  <si>
    <t>Carry 9-hole CH Calculation for rounding to 1DP into the Team-type competitions where there is a 9-hole option (4B Matchplay, Foursomes/Greensomes, Scrambles) which were missed for V 1.24 in error.</t>
  </si>
  <si>
    <t>V 1.27</t>
  </si>
  <si>
    <t>Correct calculation of Course Handicap for Plus-handicaps, and also correct calculation of Playing Handicap to use the correct handicap.</t>
  </si>
  <si>
    <t>Version 1.27</t>
  </si>
  <si>
    <t>INSTRUCTIONS FOR ALL COMPETITION CALCULATORS</t>
  </si>
  <si>
    <t>Ensure Correct Competition Type Is Selected From The Drop Down List</t>
  </si>
  <si>
    <t>Input Player Handicap Indexes</t>
  </si>
  <si>
    <t>Playing Handicap Confirmed Here</t>
  </si>
  <si>
    <t xml:space="preserve">Enter the Course Rating, Par and Slope Rating according to the Tee Set Being Used.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</si>
</sst>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0.0"/>
    <numFmt numFmtId="165" formatCode="0.000"/>
    <numFmt numFmtId="166" formatCode="0.0000"/>
    <numFmt numFmtId="167" formatCode="0.00000"/>
    <numFmt numFmtId="168" formatCode="0.00000000"/>
    <numFmt numFmtId="169" formatCode="0.000000"/>
    <numFmt numFmtId="170" formatCode="0.0000000"/>
  </numFmts>
  <fonts count="2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9" tint="0.79998168889431442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rgb="FF0070C0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theme="9" tint="0.79998168889431442"/>
      <name val="Calibri"/>
      <family val="2"/>
      <scheme val="minor"/>
    </font>
    <font>
      <b/>
      <sz val="12"/>
      <color theme="9" tint="0.79998168889431442"/>
      <name val="Calibri"/>
      <family val="2"/>
      <scheme val="minor"/>
    </font>
    <font>
      <b/>
      <sz val="9"/>
      <color rgb="FFFF0000"/>
      <name val="Calibri"/>
      <family val="2"/>
      <scheme val="minor"/>
    </font>
    <font>
      <vertAlign val="superscript"/>
      <sz val="10"/>
      <color theme="1"/>
      <name val="Calibri"/>
      <family val="2"/>
      <scheme val="minor"/>
    </font>
    <font>
      <b/>
      <vertAlign val="superscript"/>
      <sz val="10"/>
      <color theme="1"/>
      <name val="Calibri"/>
      <family val="2"/>
      <scheme val="minor"/>
    </font>
    <font>
      <i/>
      <sz val="11"/>
      <color theme="9" tint="0.79998168889431442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4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223">
    <xf numFmtId="0" fontId="0" fillId="0" borderId="0" xfId="0"/>
    <xf numFmtId="0" fontId="0" fillId="0" borderId="0" xfId="0" applyAlignment="1">
      <alignment horizontal="center"/>
    </xf>
    <xf numFmtId="0" fontId="0" fillId="3" borderId="2" xfId="0" applyFill="1" applyBorder="1"/>
    <xf numFmtId="0" fontId="0" fillId="3" borderId="3" xfId="0" applyFill="1" applyBorder="1"/>
    <xf numFmtId="0" fontId="0" fillId="3" borderId="4" xfId="0" applyFill="1" applyBorder="1"/>
    <xf numFmtId="0" fontId="0" fillId="3" borderId="0" xfId="0" applyFill="1"/>
    <xf numFmtId="0" fontId="0" fillId="3" borderId="5" xfId="0" applyFill="1" applyBorder="1"/>
    <xf numFmtId="0" fontId="0" fillId="3" borderId="0" xfId="0" applyFill="1" applyAlignment="1">
      <alignment horizontal="right"/>
    </xf>
    <xf numFmtId="0" fontId="0" fillId="3" borderId="0" xfId="0" applyFill="1" applyAlignment="1">
      <alignment horizontal="center"/>
    </xf>
    <xf numFmtId="0" fontId="0" fillId="3" borderId="4" xfId="0" applyFill="1" applyBorder="1" applyAlignment="1">
      <alignment horizontal="right"/>
    </xf>
    <xf numFmtId="0" fontId="5" fillId="3" borderId="0" xfId="0" applyFont="1" applyFill="1" applyAlignment="1">
      <alignment horizontal="right"/>
    </xf>
    <xf numFmtId="0" fontId="0" fillId="5" borderId="6" xfId="0" applyFill="1" applyBorder="1" applyAlignment="1">
      <alignment horizontal="center"/>
    </xf>
    <xf numFmtId="0" fontId="6" fillId="3" borderId="0" xfId="0" applyFont="1" applyFill="1" applyAlignment="1">
      <alignment horizontal="left"/>
    </xf>
    <xf numFmtId="0" fontId="6" fillId="3" borderId="0" xfId="0" applyFont="1" applyFill="1" applyAlignment="1">
      <alignment horizontal="center"/>
    </xf>
    <xf numFmtId="0" fontId="6" fillId="3" borderId="4" xfId="0" applyFont="1" applyFill="1" applyBorder="1" applyAlignment="1">
      <alignment horizontal="right"/>
    </xf>
    <xf numFmtId="0" fontId="6" fillId="3" borderId="0" xfId="0" applyFont="1" applyFill="1"/>
    <xf numFmtId="0" fontId="7" fillId="4" borderId="0" xfId="0" applyFont="1" applyFill="1" applyAlignment="1">
      <alignment horizontal="center"/>
    </xf>
    <xf numFmtId="0" fontId="7" fillId="4" borderId="6" xfId="0" applyFont="1" applyFill="1" applyBorder="1" applyAlignment="1">
      <alignment horizontal="center"/>
    </xf>
    <xf numFmtId="0" fontId="1" fillId="3" borderId="0" xfId="0" applyFont="1" applyFill="1"/>
    <xf numFmtId="9" fontId="0" fillId="5" borderId="6" xfId="1" applyFont="1" applyFill="1" applyBorder="1" applyAlignment="1">
      <alignment horizontal="center"/>
    </xf>
    <xf numFmtId="164" fontId="1" fillId="2" borderId="6" xfId="0" applyNumberFormat="1" applyFont="1" applyFill="1" applyBorder="1" applyAlignment="1" applyProtection="1">
      <alignment horizontal="center"/>
      <protection locked="0"/>
    </xf>
    <xf numFmtId="0" fontId="0" fillId="3" borderId="0" xfId="0" applyFill="1" applyAlignment="1">
      <alignment horizontal="left"/>
    </xf>
    <xf numFmtId="0" fontId="0" fillId="3" borderId="5" xfId="0" applyFill="1" applyBorder="1" applyAlignment="1">
      <alignment horizontal="left"/>
    </xf>
    <xf numFmtId="0" fontId="10" fillId="0" borderId="0" xfId="0" applyFont="1"/>
    <xf numFmtId="0" fontId="11" fillId="3" borderId="4" xfId="0" applyFont="1" applyFill="1" applyBorder="1" applyAlignment="1">
      <alignment horizontal="right"/>
    </xf>
    <xf numFmtId="0" fontId="11" fillId="3" borderId="0" xfId="0" applyFont="1" applyFill="1"/>
    <xf numFmtId="0" fontId="11" fillId="3" borderId="0" xfId="0" applyFont="1" applyFill="1" applyAlignment="1">
      <alignment horizontal="center"/>
    </xf>
    <xf numFmtId="0" fontId="11" fillId="3" borderId="0" xfId="0" applyFont="1" applyFill="1" applyAlignment="1">
      <alignment horizontal="left"/>
    </xf>
    <xf numFmtId="0" fontId="12" fillId="4" borderId="6" xfId="0" applyFont="1" applyFill="1" applyBorder="1" applyAlignment="1">
      <alignment horizontal="center"/>
    </xf>
    <xf numFmtId="0" fontId="1" fillId="2" borderId="6" xfId="0" applyFont="1" applyFill="1" applyBorder="1" applyAlignment="1" applyProtection="1">
      <alignment horizontal="center" vertical="center"/>
      <protection locked="0"/>
    </xf>
    <xf numFmtId="0" fontId="8" fillId="3" borderId="0" xfId="0" applyFont="1" applyFill="1" applyAlignment="1">
      <alignment horizontal="right" vertical="center"/>
    </xf>
    <xf numFmtId="0" fontId="8" fillId="3" borderId="0" xfId="0" applyFont="1" applyFill="1" applyAlignment="1">
      <alignment horizontal="left" vertical="center"/>
    </xf>
    <xf numFmtId="0" fontId="0" fillId="3" borderId="0" xfId="0" applyFill="1" applyAlignment="1">
      <alignment horizontal="left" vertical="center"/>
    </xf>
    <xf numFmtId="0" fontId="13" fillId="2" borderId="6" xfId="0" applyFont="1" applyFill="1" applyBorder="1" applyAlignment="1" applyProtection="1">
      <alignment horizontal="left" vertical="center"/>
      <protection locked="0"/>
    </xf>
    <xf numFmtId="0" fontId="5" fillId="3" borderId="0" xfId="0" applyFont="1" applyFill="1" applyAlignment="1">
      <alignment horizontal="center"/>
    </xf>
    <xf numFmtId="0" fontId="0" fillId="0" borderId="0" xfId="0" applyAlignment="1">
      <alignment horizontal="right"/>
    </xf>
    <xf numFmtId="164" fontId="0" fillId="0" borderId="0" xfId="0" applyNumberFormat="1" applyAlignment="1">
      <alignment horizontal="center"/>
    </xf>
    <xf numFmtId="0" fontId="8" fillId="3" borderId="0" xfId="0" applyFont="1" applyFill="1" applyAlignment="1">
      <alignment vertical="center"/>
    </xf>
    <xf numFmtId="0" fontId="0" fillId="3" borderId="0" xfId="0" applyFill="1" applyAlignment="1">
      <alignment vertical="center"/>
    </xf>
    <xf numFmtId="0" fontId="1" fillId="2" borderId="6" xfId="0" applyFont="1" applyFill="1" applyBorder="1" applyAlignment="1" applyProtection="1">
      <alignment vertical="center"/>
      <protection locked="0"/>
    </xf>
    <xf numFmtId="0" fontId="0" fillId="3" borderId="0" xfId="0" applyFill="1" applyAlignment="1">
      <alignment horizontal="right" vertical="center"/>
    </xf>
    <xf numFmtId="0" fontId="14" fillId="3" borderId="0" xfId="0" applyFont="1" applyFill="1"/>
    <xf numFmtId="0" fontId="14" fillId="3" borderId="0" xfId="0" applyFont="1" applyFill="1" applyAlignment="1">
      <alignment horizontal="center"/>
    </xf>
    <xf numFmtId="9" fontId="14" fillId="5" borderId="6" xfId="1" applyFont="1" applyFill="1" applyBorder="1" applyAlignment="1">
      <alignment horizontal="center"/>
    </xf>
    <xf numFmtId="164" fontId="1" fillId="3" borderId="0" xfId="0" applyNumberFormat="1" applyFont="1" applyFill="1" applyAlignment="1">
      <alignment horizontal="center"/>
    </xf>
    <xf numFmtId="164" fontId="1" fillId="2" borderId="6" xfId="0" applyNumberFormat="1" applyFont="1" applyFill="1" applyBorder="1" applyAlignment="1" applyProtection="1">
      <alignment horizontal="center" vertical="center"/>
      <protection locked="0"/>
    </xf>
    <xf numFmtId="0" fontId="15" fillId="3" borderId="0" xfId="0" applyFont="1" applyFill="1"/>
    <xf numFmtId="0" fontId="1" fillId="2" borderId="0" xfId="0" applyFont="1" applyFill="1" applyAlignment="1" applyProtection="1">
      <alignment horizontal="center" vertical="center"/>
      <protection locked="0"/>
    </xf>
    <xf numFmtId="164" fontId="1" fillId="2" borderId="0" xfId="0" applyNumberFormat="1" applyFont="1" applyFill="1" applyAlignment="1" applyProtection="1">
      <alignment horizontal="center" vertical="center"/>
      <protection locked="0"/>
    </xf>
    <xf numFmtId="164" fontId="1" fillId="2" borderId="0" xfId="0" applyNumberFormat="1" applyFont="1" applyFill="1" applyAlignment="1" applyProtection="1">
      <alignment horizontal="center"/>
      <protection locked="0"/>
    </xf>
    <xf numFmtId="164" fontId="0" fillId="0" borderId="0" xfId="0" applyNumberFormat="1"/>
    <xf numFmtId="0" fontId="0" fillId="0" borderId="0" xfId="0" applyAlignment="1">
      <alignment vertical="center"/>
    </xf>
    <xf numFmtId="0" fontId="1" fillId="3" borderId="4" xfId="0" applyFont="1" applyFill="1" applyBorder="1" applyAlignment="1">
      <alignment horizontal="center"/>
    </xf>
    <xf numFmtId="0" fontId="1" fillId="3" borderId="0" xfId="0" applyFont="1" applyFill="1" applyAlignment="1">
      <alignment horizontal="center"/>
    </xf>
    <xf numFmtId="0" fontId="14" fillId="5" borderId="6" xfId="0" applyFont="1" applyFill="1" applyBorder="1" applyAlignment="1">
      <alignment horizontal="center"/>
    </xf>
    <xf numFmtId="164" fontId="1" fillId="2" borderId="25" xfId="0" applyNumberFormat="1" applyFont="1" applyFill="1" applyBorder="1" applyAlignment="1" applyProtection="1">
      <alignment horizontal="center"/>
      <protection locked="0"/>
    </xf>
    <xf numFmtId="0" fontId="1" fillId="3" borderId="4" xfId="0" applyFont="1" applyFill="1" applyBorder="1" applyAlignment="1">
      <alignment horizontal="right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5" fillId="3" borderId="0" xfId="0" applyFont="1" applyFill="1"/>
    <xf numFmtId="0" fontId="12" fillId="4" borderId="0" xfId="0" applyFont="1" applyFill="1" applyAlignment="1">
      <alignment horizontal="center"/>
    </xf>
    <xf numFmtId="0" fontId="1" fillId="3" borderId="21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9" fontId="14" fillId="3" borderId="0" xfId="1" applyFont="1" applyFill="1" applyBorder="1" applyAlignment="1" applyProtection="1">
      <alignment horizontal="center"/>
    </xf>
    <xf numFmtId="0" fontId="12" fillId="3" borderId="0" xfId="0" applyFont="1" applyFill="1" applyAlignment="1">
      <alignment horizontal="center"/>
    </xf>
    <xf numFmtId="164" fontId="1" fillId="3" borderId="27" xfId="0" applyNumberFormat="1" applyFont="1" applyFill="1" applyBorder="1" applyAlignment="1">
      <alignment horizontal="center"/>
    </xf>
    <xf numFmtId="0" fontId="11" fillId="3" borderId="0" xfId="0" applyFont="1" applyFill="1" applyAlignment="1">
      <alignment horizontal="right"/>
    </xf>
    <xf numFmtId="164" fontId="5" fillId="3" borderId="0" xfId="0" applyNumberFormat="1" applyFont="1" applyFill="1" applyAlignment="1">
      <alignment horizontal="center"/>
    </xf>
    <xf numFmtId="0" fontId="13" fillId="3" borderId="0" xfId="0" applyFont="1" applyFill="1" applyAlignment="1">
      <alignment vertical="center"/>
    </xf>
    <xf numFmtId="0" fontId="14" fillId="3" borderId="0" xfId="0" applyFont="1" applyFill="1" applyAlignment="1">
      <alignment horizontal="left"/>
    </xf>
    <xf numFmtId="164" fontId="1" fillId="3" borderId="0" xfId="0" applyNumberFormat="1" applyFont="1" applyFill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165" fontId="0" fillId="0" borderId="0" xfId="0" applyNumberFormat="1"/>
    <xf numFmtId="2" fontId="0" fillId="0" borderId="0" xfId="0" applyNumberFormat="1"/>
    <xf numFmtId="0" fontId="16" fillId="3" borderId="0" xfId="0" applyFont="1" applyFill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17" fillId="3" borderId="0" xfId="0" applyFont="1" applyFill="1" applyAlignment="1">
      <alignment horizontal="center"/>
    </xf>
    <xf numFmtId="164" fontId="16" fillId="3" borderId="0" xfId="0" applyNumberFormat="1" applyFont="1" applyFill="1" applyAlignment="1">
      <alignment horizontal="center" vertical="center"/>
    </xf>
    <xf numFmtId="0" fontId="16" fillId="3" borderId="0" xfId="0" applyFont="1" applyFill="1" applyAlignment="1">
      <alignment horizontal="center" vertical="center"/>
    </xf>
    <xf numFmtId="0" fontId="1" fillId="0" borderId="0" xfId="0" applyFont="1" applyAlignment="1">
      <alignment horizontal="center"/>
    </xf>
    <xf numFmtId="9" fontId="14" fillId="3" borderId="0" xfId="1" applyFont="1" applyFill="1" applyBorder="1" applyAlignment="1" applyProtection="1">
      <alignment horizontal="left"/>
    </xf>
    <xf numFmtId="9" fontId="0" fillId="3" borderId="5" xfId="1" applyFont="1" applyFill="1" applyBorder="1" applyAlignment="1" applyProtection="1">
      <alignment horizontal="left"/>
    </xf>
    <xf numFmtId="0" fontId="4" fillId="0" borderId="0" xfId="0" applyFont="1"/>
    <xf numFmtId="0" fontId="10" fillId="3" borderId="0" xfId="0" applyFont="1" applyFill="1"/>
    <xf numFmtId="0" fontId="18" fillId="3" borderId="4" xfId="0" applyFont="1" applyFill="1" applyBorder="1"/>
    <xf numFmtId="164" fontId="1" fillId="2" borderId="0" xfId="0" applyNumberFormat="1" applyFont="1" applyFill="1" applyAlignment="1" applyProtection="1">
      <alignment horizontal="left" vertical="center"/>
      <protection locked="0"/>
    </xf>
    <xf numFmtId="164" fontId="12" fillId="3" borderId="0" xfId="0" applyNumberFormat="1" applyFont="1" applyFill="1"/>
    <xf numFmtId="0" fontId="12" fillId="3" borderId="0" xfId="0" applyFont="1" applyFill="1"/>
    <xf numFmtId="1" fontId="0" fillId="0" borderId="0" xfId="0" applyNumberFormat="1"/>
    <xf numFmtId="9" fontId="0" fillId="0" borderId="0" xfId="0" applyNumberFormat="1"/>
    <xf numFmtId="166" fontId="5" fillId="3" borderId="0" xfId="0" applyNumberFormat="1" applyFont="1" applyFill="1" applyAlignment="1">
      <alignment horizontal="center"/>
    </xf>
    <xf numFmtId="165" fontId="5" fillId="3" borderId="0" xfId="0" applyNumberFormat="1" applyFont="1" applyFill="1" applyAlignment="1">
      <alignment horizontal="center"/>
    </xf>
    <xf numFmtId="164" fontId="4" fillId="0" borderId="0" xfId="0" applyNumberFormat="1" applyFont="1"/>
    <xf numFmtId="0" fontId="13" fillId="3" borderId="0" xfId="0" applyFont="1" applyFill="1" applyAlignment="1">
      <alignment horizontal="left" vertical="center"/>
    </xf>
    <xf numFmtId="0" fontId="0" fillId="0" borderId="0" xfId="0" quotePrefix="1"/>
    <xf numFmtId="166" fontId="0" fillId="0" borderId="0" xfId="0" applyNumberFormat="1"/>
    <xf numFmtId="0" fontId="21" fillId="3" borderId="0" xfId="0" applyFont="1" applyFill="1" applyAlignment="1">
      <alignment horizontal="center"/>
    </xf>
    <xf numFmtId="0" fontId="21" fillId="3" borderId="0" xfId="0" applyFont="1" applyFill="1"/>
    <xf numFmtId="0" fontId="1" fillId="3" borderId="0" xfId="0" applyFont="1" applyFill="1" applyAlignment="1">
      <alignment horizontal="left" vertical="center"/>
    </xf>
    <xf numFmtId="167" fontId="0" fillId="0" borderId="0" xfId="0" applyNumberFormat="1"/>
    <xf numFmtId="1" fontId="0" fillId="0" borderId="0" xfId="0" applyNumberFormat="1" applyAlignment="1">
      <alignment horizontal="center"/>
    </xf>
    <xf numFmtId="1" fontId="0" fillId="6" borderId="0" xfId="0" applyNumberFormat="1" applyFill="1"/>
    <xf numFmtId="0" fontId="22" fillId="3" borderId="4" xfId="0" applyFont="1" applyFill="1" applyBorder="1" applyAlignment="1">
      <alignment horizontal="center"/>
    </xf>
    <xf numFmtId="0" fontId="10" fillId="3" borderId="4" xfId="0" applyFont="1" applyFill="1" applyBorder="1" applyAlignment="1">
      <alignment horizontal="center"/>
    </xf>
    <xf numFmtId="1" fontId="7" fillId="4" borderId="0" xfId="0" applyNumberFormat="1" applyFont="1" applyFill="1" applyAlignment="1">
      <alignment horizontal="center"/>
    </xf>
    <xf numFmtId="0" fontId="23" fillId="5" borderId="0" xfId="0" applyFont="1" applyFill="1" applyAlignment="1">
      <alignment horizontal="center"/>
    </xf>
    <xf numFmtId="0" fontId="1" fillId="3" borderId="28" xfId="0" applyFont="1" applyFill="1" applyBorder="1" applyAlignment="1">
      <alignment horizontal="center"/>
    </xf>
    <xf numFmtId="1" fontId="24" fillId="5" borderId="0" xfId="0" applyNumberFormat="1" applyFont="1" applyFill="1" applyAlignment="1">
      <alignment horizontal="center"/>
    </xf>
    <xf numFmtId="165" fontId="14" fillId="3" borderId="0" xfId="0" applyNumberFormat="1" applyFont="1" applyFill="1" applyAlignment="1">
      <alignment horizontal="center"/>
    </xf>
    <xf numFmtId="1" fontId="24" fillId="3" borderId="0" xfId="0" applyNumberFormat="1" applyFont="1" applyFill="1" applyAlignment="1">
      <alignment horizontal="center"/>
    </xf>
    <xf numFmtId="0" fontId="4" fillId="3" borderId="0" xfId="0" applyFont="1" applyFill="1" applyAlignment="1">
      <alignment horizontal="right"/>
    </xf>
    <xf numFmtId="1" fontId="7" fillId="5" borderId="0" xfId="0" applyNumberFormat="1" applyFont="1" applyFill="1" applyAlignment="1">
      <alignment horizontal="center"/>
    </xf>
    <xf numFmtId="0" fontId="23" fillId="3" borderId="0" xfId="0" applyFont="1" applyFill="1" applyAlignment="1">
      <alignment horizontal="center"/>
    </xf>
    <xf numFmtId="1" fontId="14" fillId="5" borderId="0" xfId="0" applyNumberFormat="1" applyFont="1" applyFill="1" applyAlignment="1">
      <alignment horizontal="center"/>
    </xf>
    <xf numFmtId="2" fontId="21" fillId="3" borderId="0" xfId="0" applyNumberFormat="1" applyFont="1" applyFill="1" applyAlignment="1">
      <alignment horizontal="center"/>
    </xf>
    <xf numFmtId="1" fontId="15" fillId="5" borderId="0" xfId="0" applyNumberFormat="1" applyFont="1" applyFill="1" applyAlignment="1">
      <alignment horizontal="center"/>
    </xf>
    <xf numFmtId="168" fontId="0" fillId="0" borderId="0" xfId="0" applyNumberFormat="1"/>
    <xf numFmtId="169" fontId="0" fillId="0" borderId="0" xfId="0" applyNumberFormat="1"/>
    <xf numFmtId="170" fontId="0" fillId="0" borderId="0" xfId="0" applyNumberFormat="1"/>
    <xf numFmtId="166" fontId="14" fillId="5" borderId="6" xfId="0" applyNumberFormat="1" applyFont="1" applyFill="1" applyBorder="1" applyAlignment="1">
      <alignment horizontal="center"/>
    </xf>
    <xf numFmtId="166" fontId="15" fillId="5" borderId="6" xfId="0" applyNumberFormat="1" applyFont="1" applyFill="1" applyBorder="1" applyAlignment="1">
      <alignment horizontal="center"/>
    </xf>
    <xf numFmtId="166" fontId="0" fillId="5" borderId="26" xfId="0" applyNumberFormat="1" applyFill="1" applyBorder="1" applyAlignment="1">
      <alignment horizontal="center"/>
    </xf>
    <xf numFmtId="166" fontId="0" fillId="5" borderId="6" xfId="0" applyNumberFormat="1" applyFill="1" applyBorder="1" applyAlignment="1">
      <alignment horizontal="center"/>
    </xf>
    <xf numFmtId="166" fontId="15" fillId="5" borderId="0" xfId="0" applyNumberFormat="1" applyFont="1" applyFill="1" applyAlignment="1">
      <alignment horizontal="center"/>
    </xf>
    <xf numFmtId="166" fontId="14" fillId="5" borderId="0" xfId="0" applyNumberFormat="1" applyFont="1" applyFill="1" applyAlignment="1">
      <alignment horizontal="center"/>
    </xf>
    <xf numFmtId="169" fontId="25" fillId="0" borderId="0" xfId="0" applyNumberFormat="1" applyFont="1"/>
    <xf numFmtId="0" fontId="25" fillId="0" borderId="0" xfId="0" applyFont="1"/>
    <xf numFmtId="0" fontId="0" fillId="7" borderId="21" xfId="0" applyFill="1" applyBorder="1"/>
    <xf numFmtId="0" fontId="0" fillId="7" borderId="17" xfId="0" applyFill="1" applyBorder="1" applyAlignment="1">
      <alignment horizontal="center"/>
    </xf>
    <xf numFmtId="0" fontId="0" fillId="7" borderId="17" xfId="0" applyFill="1" applyBorder="1"/>
    <xf numFmtId="0" fontId="0" fillId="7" borderId="25" xfId="0" applyFill="1" applyBorder="1"/>
    <xf numFmtId="0" fontId="0" fillId="7" borderId="29" xfId="0" applyFill="1" applyBorder="1"/>
    <xf numFmtId="14" fontId="0" fillId="0" borderId="13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2" xfId="0" applyBorder="1" applyAlignment="1">
      <alignment wrapText="1"/>
    </xf>
    <xf numFmtId="0" fontId="0" fillId="7" borderId="30" xfId="0" applyFill="1" applyBorder="1"/>
    <xf numFmtId="16" fontId="0" fillId="7" borderId="13" xfId="0" applyNumberFormat="1" applyFill="1" applyBorder="1" applyAlignment="1">
      <alignment horizontal="center" vertical="center"/>
    </xf>
    <xf numFmtId="0" fontId="0" fillId="7" borderId="6" xfId="0" applyFill="1" applyBorder="1" applyAlignment="1">
      <alignment horizontal="center" vertical="center"/>
    </xf>
    <xf numFmtId="0" fontId="0" fillId="7" borderId="12" xfId="0" applyFill="1" applyBorder="1" applyAlignment="1">
      <alignment wrapText="1"/>
    </xf>
    <xf numFmtId="16" fontId="0" fillId="0" borderId="13" xfId="0" applyNumberFormat="1" applyBorder="1" applyAlignment="1">
      <alignment horizontal="center" vertical="center"/>
    </xf>
    <xf numFmtId="0" fontId="0" fillId="7" borderId="31" xfId="0" applyFill="1" applyBorder="1"/>
    <xf numFmtId="16" fontId="0" fillId="7" borderId="6" xfId="0" applyNumberFormat="1" applyFill="1" applyBorder="1" applyAlignment="1">
      <alignment horizontal="center" vertical="center"/>
    </xf>
    <xf numFmtId="0" fontId="0" fillId="7" borderId="32" xfId="0" applyFill="1" applyBorder="1"/>
    <xf numFmtId="16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166" fontId="1" fillId="5" borderId="0" xfId="0" applyNumberFormat="1" applyFont="1" applyFill="1" applyAlignment="1">
      <alignment horizontal="center"/>
    </xf>
    <xf numFmtId="166" fontId="0" fillId="5" borderId="0" xfId="0" applyNumberFormat="1" applyFill="1" applyAlignment="1">
      <alignment horizontal="center"/>
    </xf>
    <xf numFmtId="0" fontId="4" fillId="3" borderId="0" xfId="0" applyFont="1" applyFill="1"/>
    <xf numFmtId="0" fontId="22" fillId="3" borderId="0" xfId="0" applyFont="1" applyFill="1" applyAlignment="1">
      <alignment horizontal="right"/>
    </xf>
    <xf numFmtId="0" fontId="22" fillId="3" borderId="0" xfId="0" applyFont="1" applyFill="1" applyAlignment="1">
      <alignment horizontal="center"/>
    </xf>
    <xf numFmtId="0" fontId="22" fillId="3" borderId="0" xfId="0" applyFont="1" applyFill="1"/>
    <xf numFmtId="0" fontId="26" fillId="0" borderId="0" xfId="0" applyFont="1"/>
    <xf numFmtId="0" fontId="27" fillId="0" borderId="1" xfId="0" applyFont="1" applyBorder="1" applyAlignment="1">
      <alignment horizontal="left" vertical="top" wrapText="1"/>
    </xf>
    <xf numFmtId="0" fontId="27" fillId="0" borderId="2" xfId="0" applyFont="1" applyBorder="1" applyAlignment="1">
      <alignment horizontal="left" vertical="top" wrapText="1"/>
    </xf>
    <xf numFmtId="0" fontId="27" fillId="0" borderId="3" xfId="0" applyFont="1" applyBorder="1" applyAlignment="1">
      <alignment horizontal="left" vertical="top" wrapText="1"/>
    </xf>
    <xf numFmtId="0" fontId="27" fillId="0" borderId="4" xfId="0" applyFont="1" applyBorder="1" applyAlignment="1">
      <alignment horizontal="left" vertical="top" wrapText="1"/>
    </xf>
    <xf numFmtId="0" fontId="27" fillId="0" borderId="0" xfId="0" applyFont="1" applyBorder="1" applyAlignment="1">
      <alignment horizontal="left" vertical="top" wrapText="1"/>
    </xf>
    <xf numFmtId="0" fontId="27" fillId="0" borderId="5" xfId="0" applyFont="1" applyBorder="1" applyAlignment="1">
      <alignment horizontal="left" vertical="top" wrapText="1"/>
    </xf>
    <xf numFmtId="0" fontId="27" fillId="0" borderId="19" xfId="0" applyFont="1" applyBorder="1" applyAlignment="1">
      <alignment horizontal="left" vertical="top" wrapText="1"/>
    </xf>
    <xf numFmtId="0" fontId="27" fillId="0" borderId="14" xfId="0" applyFont="1" applyBorder="1" applyAlignment="1">
      <alignment horizontal="left" vertical="top" wrapText="1"/>
    </xf>
    <xf numFmtId="0" fontId="27" fillId="0" borderId="15" xfId="0" applyFont="1" applyBorder="1" applyAlignment="1">
      <alignment horizontal="left" vertical="top" wrapText="1"/>
    </xf>
    <xf numFmtId="0" fontId="27" fillId="0" borderId="1" xfId="0" applyFont="1" applyBorder="1" applyAlignment="1">
      <alignment horizontal="left" vertical="top"/>
    </xf>
    <xf numFmtId="0" fontId="27" fillId="0" borderId="2" xfId="0" applyFont="1" applyBorder="1" applyAlignment="1">
      <alignment horizontal="left" vertical="top"/>
    </xf>
    <xf numFmtId="0" fontId="27" fillId="0" borderId="3" xfId="0" applyFont="1" applyBorder="1" applyAlignment="1">
      <alignment horizontal="left" vertical="top"/>
    </xf>
    <xf numFmtId="0" fontId="27" fillId="0" borderId="19" xfId="0" applyFont="1" applyBorder="1" applyAlignment="1">
      <alignment horizontal="left" vertical="top"/>
    </xf>
    <xf numFmtId="0" fontId="27" fillId="0" borderId="14" xfId="0" applyFont="1" applyBorder="1" applyAlignment="1">
      <alignment horizontal="left" vertical="top"/>
    </xf>
    <xf numFmtId="0" fontId="27" fillId="0" borderId="15" xfId="0" applyFont="1" applyBorder="1" applyAlignment="1">
      <alignment horizontal="left" vertical="top"/>
    </xf>
    <xf numFmtId="0" fontId="1" fillId="3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0" xfId="0" applyFont="1" applyFill="1" applyAlignment="1">
      <alignment horizontal="center"/>
    </xf>
    <xf numFmtId="0" fontId="4" fillId="3" borderId="9" xfId="0" applyFont="1" applyFill="1" applyBorder="1" applyAlignment="1">
      <alignment horizontal="center" vertical="top" wrapText="1"/>
    </xf>
    <xf numFmtId="0" fontId="2" fillId="3" borderId="6" xfId="0" applyFont="1" applyFill="1" applyBorder="1" applyAlignment="1">
      <alignment horizontal="center" vertical="top" wrapText="1"/>
    </xf>
    <xf numFmtId="0" fontId="2" fillId="3" borderId="10" xfId="0" applyFont="1" applyFill="1" applyBorder="1" applyAlignment="1">
      <alignment horizontal="center" vertical="top" wrapText="1"/>
    </xf>
    <xf numFmtId="0" fontId="2" fillId="3" borderId="7" xfId="0" applyFont="1" applyFill="1" applyBorder="1" applyAlignment="1">
      <alignment horizontal="center" vertical="top" wrapText="1"/>
    </xf>
    <xf numFmtId="0" fontId="2" fillId="3" borderId="11" xfId="0" applyFont="1" applyFill="1" applyBorder="1" applyAlignment="1">
      <alignment horizontal="center" vertical="top" wrapText="1"/>
    </xf>
    <xf numFmtId="0" fontId="2" fillId="3" borderId="8" xfId="0" applyFont="1" applyFill="1" applyBorder="1" applyAlignment="1">
      <alignment horizontal="center" vertical="top" wrapText="1"/>
    </xf>
    <xf numFmtId="0" fontId="0" fillId="3" borderId="4" xfId="0" applyFill="1" applyBorder="1" applyAlignment="1">
      <alignment horizontal="right"/>
    </xf>
    <xf numFmtId="0" fontId="0" fillId="3" borderId="0" xfId="0" applyFill="1" applyAlignment="1">
      <alignment horizontal="right"/>
    </xf>
    <xf numFmtId="0" fontId="0" fillId="3" borderId="5" xfId="0" applyFill="1" applyBorder="1" applyAlignment="1">
      <alignment horizontal="right"/>
    </xf>
    <xf numFmtId="0" fontId="13" fillId="3" borderId="0" xfId="0" applyFont="1" applyFill="1" applyAlignment="1">
      <alignment horizontal="left" vertical="center"/>
    </xf>
    <xf numFmtId="0" fontId="13" fillId="2" borderId="12" xfId="0" applyFont="1" applyFill="1" applyBorder="1" applyAlignment="1" applyProtection="1">
      <alignment horizontal="left" vertical="center"/>
      <protection locked="0"/>
    </xf>
    <xf numFmtId="0" fontId="13" fillId="2" borderId="13" xfId="0" applyFont="1" applyFill="1" applyBorder="1" applyAlignment="1" applyProtection="1">
      <alignment horizontal="left" vertical="center"/>
      <protection locked="0"/>
    </xf>
    <xf numFmtId="0" fontId="4" fillId="3" borderId="18" xfId="0" applyFont="1" applyFill="1" applyBorder="1" applyAlignment="1">
      <alignment horizontal="center" vertical="top" wrapText="1"/>
    </xf>
    <xf numFmtId="0" fontId="4" fillId="3" borderId="17" xfId="0" applyFont="1" applyFill="1" applyBorder="1" applyAlignment="1">
      <alignment horizontal="center" vertical="top" wrapText="1"/>
    </xf>
    <xf numFmtId="0" fontId="4" fillId="3" borderId="16" xfId="0" applyFont="1" applyFill="1" applyBorder="1" applyAlignment="1">
      <alignment horizontal="center" vertical="top" wrapText="1"/>
    </xf>
    <xf numFmtId="0" fontId="4" fillId="3" borderId="19" xfId="0" applyFont="1" applyFill="1" applyBorder="1" applyAlignment="1">
      <alignment horizontal="center" vertical="top" wrapText="1"/>
    </xf>
    <xf numFmtId="0" fontId="4" fillId="3" borderId="14" xfId="0" applyFont="1" applyFill="1" applyBorder="1" applyAlignment="1">
      <alignment horizontal="center" vertical="top" wrapText="1"/>
    </xf>
    <xf numFmtId="0" fontId="4" fillId="3" borderId="15" xfId="0" applyFont="1" applyFill="1" applyBorder="1" applyAlignment="1">
      <alignment horizontal="center" vertical="top" wrapText="1"/>
    </xf>
    <xf numFmtId="0" fontId="9" fillId="3" borderId="4" xfId="0" applyFont="1" applyFill="1" applyBorder="1" applyAlignment="1">
      <alignment horizontal="center"/>
    </xf>
    <xf numFmtId="0" fontId="9" fillId="3" borderId="0" xfId="0" applyFont="1" applyFill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5" xfId="0" applyFill="1" applyBorder="1" applyAlignment="1">
      <alignment horizontal="center"/>
    </xf>
    <xf numFmtId="0" fontId="22" fillId="3" borderId="0" xfId="0" applyFont="1" applyFill="1" applyAlignment="1">
      <alignment horizontal="center" wrapText="1"/>
    </xf>
    <xf numFmtId="0" fontId="1" fillId="3" borderId="0" xfId="0" applyFont="1" applyFill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0" fontId="23" fillId="3" borderId="28" xfId="0" applyFont="1" applyFill="1" applyBorder="1" applyAlignment="1">
      <alignment horizontal="center"/>
    </xf>
    <xf numFmtId="0" fontId="5" fillId="3" borderId="22" xfId="0" applyFont="1" applyFill="1" applyBorder="1" applyAlignment="1">
      <alignment horizontal="center" vertical="center" wrapText="1"/>
    </xf>
    <xf numFmtId="0" fontId="5" fillId="3" borderId="23" xfId="0" applyFont="1" applyFill="1" applyBorder="1" applyAlignment="1">
      <alignment horizontal="center" vertical="center" wrapText="1"/>
    </xf>
    <xf numFmtId="0" fontId="5" fillId="3" borderId="24" xfId="0" applyFont="1" applyFill="1" applyBorder="1" applyAlignment="1">
      <alignment horizontal="center" vertical="center" wrapText="1"/>
    </xf>
    <xf numFmtId="0" fontId="1" fillId="3" borderId="28" xfId="0" applyFont="1" applyFill="1" applyBorder="1" applyAlignment="1">
      <alignment horizontal="center"/>
    </xf>
    <xf numFmtId="165" fontId="14" fillId="3" borderId="0" xfId="0" applyNumberFormat="1" applyFont="1" applyFill="1" applyAlignment="1">
      <alignment horizontal="center"/>
    </xf>
    <xf numFmtId="0" fontId="21" fillId="3" borderId="0" xfId="0" applyFont="1" applyFill="1" applyAlignment="1">
      <alignment horizontal="center"/>
    </xf>
    <xf numFmtId="0" fontId="11" fillId="3" borderId="0" xfId="0" applyFont="1" applyFill="1" applyAlignment="1">
      <alignment horizontal="center"/>
    </xf>
    <xf numFmtId="0" fontId="1" fillId="2" borderId="0" xfId="0" applyFont="1" applyFill="1" applyAlignment="1" applyProtection="1">
      <alignment horizontal="left" vertical="center"/>
      <protection locked="0"/>
    </xf>
    <xf numFmtId="166" fontId="14" fillId="5" borderId="0" xfId="0" applyNumberFormat="1" applyFont="1" applyFill="1" applyAlignment="1">
      <alignment horizontal="center"/>
    </xf>
    <xf numFmtId="1" fontId="7" fillId="4" borderId="0" xfId="0" applyNumberFormat="1" applyFont="1" applyFill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1" fontId="23" fillId="5" borderId="0" xfId="0" applyNumberFormat="1" applyFont="1" applyFill="1" applyAlignment="1">
      <alignment horizontal="center"/>
    </xf>
    <xf numFmtId="0" fontId="23" fillId="5" borderId="28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12" fillId="3" borderId="0" xfId="0" applyFont="1" applyFill="1" applyAlignment="1">
      <alignment horizontal="center"/>
    </xf>
    <xf numFmtId="0" fontId="4" fillId="3" borderId="22" xfId="0" applyFont="1" applyFill="1" applyBorder="1" applyAlignment="1">
      <alignment horizontal="center" vertical="center" wrapText="1"/>
    </xf>
    <xf numFmtId="0" fontId="4" fillId="3" borderId="23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  <xf numFmtId="0" fontId="0" fillId="6" borderId="0" xfId="0" applyFill="1" applyAlignment="1">
      <alignment horizontal="center"/>
    </xf>
    <xf numFmtId="2" fontId="1" fillId="3" borderId="0" xfId="0" applyNumberFormat="1" applyFont="1" applyFill="1" applyAlignment="1">
      <alignment horizontal="left" vertical="center"/>
    </xf>
  </cellXfs>
  <cellStyles count="2">
    <cellStyle name="Normal" xfId="0" builtinId="0"/>
    <cellStyle name="Percent" xfId="1" builtinId="5"/>
  </cellStyles>
  <dxfs count="77">
    <dxf>
      <font>
        <color theme="9" tint="0.79998168889431442"/>
      </font>
      <fill>
        <patternFill>
          <bgColor theme="9" tint="0.79998168889431442"/>
        </patternFill>
      </fill>
    </dxf>
    <dxf>
      <font>
        <color theme="9" tint="0.79998168889431442"/>
      </font>
      <fill>
        <patternFill>
          <bgColor theme="9" tint="0.79998168889431442"/>
        </patternFill>
      </fill>
    </dxf>
    <dxf>
      <font>
        <color theme="9" tint="0.79998168889431442"/>
      </font>
      <fill>
        <patternFill>
          <bgColor theme="9" tint="0.79998168889431442"/>
        </patternFill>
      </fill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9" tint="0.79998168889431442"/>
      </font>
      <fill>
        <patternFill>
          <bgColor theme="9" tint="0.79998168889431442"/>
        </patternFill>
      </fill>
    </dxf>
    <dxf>
      <font>
        <color theme="9" tint="0.79998168889431442"/>
      </font>
      <fill>
        <patternFill>
          <bgColor theme="9" tint="0.79998168889431442"/>
        </patternFill>
      </fill>
    </dxf>
    <dxf>
      <numFmt numFmtId="165" formatCode="0.000"/>
    </dxf>
    <dxf>
      <numFmt numFmtId="165" formatCode="0.000"/>
    </dxf>
    <dxf>
      <font>
        <color theme="9" tint="0.79998168889431442"/>
      </font>
      <fill>
        <patternFill>
          <bgColor theme="9" tint="0.79998168889431442"/>
        </patternFill>
      </fill>
    </dxf>
    <dxf>
      <font>
        <color theme="9" tint="0.79998168889431442"/>
      </font>
      <fill>
        <patternFill>
          <bgColor theme="9" tint="0.79998168889431442"/>
        </patternFill>
      </fill>
    </dxf>
    <dxf>
      <font>
        <color theme="9" tint="0.79998168889431442"/>
      </font>
      <fill>
        <patternFill>
          <bgColor theme="9" tint="0.79998168889431442"/>
        </patternFill>
      </fill>
    </dxf>
    <dxf>
      <numFmt numFmtId="165" formatCode="0.000"/>
    </dxf>
    <dxf>
      <numFmt numFmtId="1" formatCode="0"/>
    </dxf>
    <dxf>
      <font>
        <color theme="9" tint="0.79998168889431442"/>
      </font>
      <fill>
        <patternFill>
          <bgColor theme="9" tint="0.79998168889431442"/>
        </patternFill>
      </fill>
    </dxf>
    <dxf>
      <numFmt numFmtId="1" formatCode="0"/>
    </dxf>
    <dxf>
      <numFmt numFmtId="165" formatCode="0.000"/>
    </dxf>
    <dxf>
      <numFmt numFmtId="1" formatCode="0"/>
    </dxf>
    <dxf>
      <font>
        <color theme="9" tint="0.79998168889431442"/>
      </font>
      <fill>
        <patternFill>
          <bgColor theme="9" tint="0.79998168889431442"/>
        </patternFill>
      </fill>
    </dxf>
    <dxf>
      <font>
        <color theme="9" tint="0.79998168889431442"/>
      </font>
      <fill>
        <patternFill>
          <bgColor theme="9" tint="0.79998168889431442"/>
        </patternFill>
      </fill>
    </dxf>
    <dxf>
      <font>
        <color theme="9" tint="0.79998168889431442"/>
      </font>
      <fill>
        <patternFill>
          <bgColor theme="9" tint="0.79998168889431442"/>
        </patternFill>
      </fill>
    </dxf>
    <dxf>
      <numFmt numFmtId="165" formatCode="0.000"/>
    </dxf>
    <dxf>
      <numFmt numFmtId="1" formatCode="0"/>
    </dxf>
    <dxf>
      <font>
        <color theme="9" tint="0.79998168889431442"/>
      </font>
      <fill>
        <patternFill>
          <bgColor theme="9" tint="0.79998168889431442"/>
        </patternFill>
      </fill>
    </dxf>
    <dxf>
      <font>
        <strike val="0"/>
        <color theme="9" tint="0.79998168889431442"/>
      </font>
    </dxf>
    <dxf>
      <font>
        <color theme="9" tint="0.79998168889431442"/>
      </font>
      <fill>
        <patternFill>
          <bgColor theme="9" tint="0.79998168889431442"/>
        </patternFill>
      </fill>
    </dxf>
    <dxf>
      <font>
        <color theme="9" tint="0.79998168889431442"/>
      </font>
      <fill>
        <patternFill>
          <bgColor theme="9" tint="0.79998168889431442"/>
        </patternFill>
      </fill>
    </dxf>
    <dxf>
      <font>
        <color theme="9" tint="0.79998168889431442"/>
      </font>
      <fill>
        <patternFill>
          <bgColor theme="9" tint="0.79998168889431442"/>
        </patternFill>
      </fill>
    </dxf>
    <dxf>
      <numFmt numFmtId="165" formatCode="0.000"/>
    </dxf>
    <dxf>
      <numFmt numFmtId="1" formatCode="0"/>
    </dxf>
    <dxf>
      <font>
        <color theme="9" tint="0.79998168889431442"/>
      </font>
      <fill>
        <patternFill>
          <bgColor theme="9" tint="0.79998168889431442"/>
        </patternFill>
      </fill>
    </dxf>
    <dxf>
      <numFmt numFmtId="1" formatCode="0"/>
    </dxf>
    <dxf>
      <numFmt numFmtId="165" formatCode="0.000"/>
    </dxf>
    <dxf>
      <numFmt numFmtId="1" formatCode="0"/>
    </dxf>
    <dxf>
      <font>
        <color theme="9" tint="0.79998168889431442"/>
      </font>
      <fill>
        <patternFill>
          <bgColor theme="9" tint="0.79998168889431442"/>
        </patternFill>
      </fill>
    </dxf>
    <dxf>
      <font>
        <color theme="9" tint="0.79998168889431442"/>
      </font>
      <fill>
        <patternFill>
          <bgColor theme="9" tint="0.79998168889431442"/>
        </patternFill>
      </fill>
    </dxf>
    <dxf>
      <font>
        <color theme="9" tint="0.79998168889431442"/>
      </font>
      <fill>
        <patternFill>
          <bgColor theme="9" tint="0.79998168889431442"/>
        </patternFill>
      </fill>
    </dxf>
    <dxf>
      <numFmt numFmtId="165" formatCode="0.000"/>
    </dxf>
    <dxf>
      <numFmt numFmtId="1" formatCode="0"/>
    </dxf>
    <dxf>
      <font>
        <color theme="9" tint="0.79998168889431442"/>
      </font>
    </dxf>
    <dxf>
      <font>
        <color theme="9" tint="0.79998168889431442"/>
      </font>
    </dxf>
    <dxf>
      <numFmt numFmtId="1" formatCode="0"/>
    </dxf>
    <dxf>
      <numFmt numFmtId="165" formatCode="0.000"/>
    </dxf>
    <dxf>
      <numFmt numFmtId="165" formatCode="0.000"/>
    </dxf>
    <dxf>
      <numFmt numFmtId="165" formatCode="0.000"/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9" tint="0.79998168889431442"/>
      </font>
      <border>
        <bottom/>
        <vertical/>
        <horizontal/>
      </border>
    </dxf>
    <dxf>
      <border>
        <bottom style="thin">
          <color auto="1"/>
        </bottom>
        <vertical/>
        <horizontal/>
      </border>
    </dxf>
    <dxf>
      <font>
        <color theme="9" tint="0.79998168889431442"/>
      </font>
    </dxf>
    <dxf>
      <numFmt numFmtId="165" formatCode="0.000"/>
    </dxf>
    <dxf>
      <border>
        <bottom style="thin">
          <color auto="1"/>
        </bottom>
        <vertical/>
        <horizontal/>
      </border>
    </dxf>
    <dxf>
      <font>
        <color theme="9" tint="0.79998168889431442"/>
      </font>
    </dxf>
    <dxf>
      <font>
        <color theme="0"/>
      </font>
      <fill>
        <patternFill>
          <bgColor theme="0"/>
        </patternFill>
      </fill>
      <border>
        <bottom/>
      </border>
    </dxf>
    <dxf>
      <numFmt numFmtId="165" formatCode="0.000"/>
    </dxf>
    <dxf>
      <numFmt numFmtId="165" formatCode="0.000"/>
    </dxf>
    <dxf>
      <font>
        <color theme="9" tint="0.79998168889431442"/>
      </font>
    </dxf>
    <dxf>
      <font>
        <color theme="9" tint="0.79998168889431442"/>
      </font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font>
        <color theme="0"/>
      </font>
      <fill>
        <patternFill>
          <bgColor theme="0"/>
        </patternFill>
      </fill>
    </dxf>
    <dxf>
      <border>
        <left/>
        <right/>
        <top/>
        <bottom/>
        <vertical/>
        <horizontal/>
      </border>
    </dxf>
    <dxf>
      <font>
        <color theme="9" tint="0.79998168889431442"/>
      </font>
    </dxf>
    <dxf>
      <numFmt numFmtId="165" formatCode="0.000"/>
    </dxf>
    <dxf>
      <font>
        <color theme="9" tint="0.79998168889431442"/>
      </font>
    </dxf>
    <dxf>
      <numFmt numFmtId="165" formatCode="0.000"/>
    </dxf>
    <dxf>
      <font>
        <b/>
        <i val="0"/>
        <color rgb="FFFF0000"/>
      </font>
    </dxf>
    <dxf>
      <border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ill>
        <patternFill patternType="none">
          <bgColor auto="1"/>
        </patternFill>
      </fill>
    </dxf>
    <dxf>
      <font>
        <color theme="0"/>
      </font>
    </dxf>
    <dxf>
      <border>
        <left/>
        <right/>
        <top/>
        <bottom/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font>
        <color theme="9" tint="0.79998168889431442"/>
      </font>
    </dxf>
    <dxf>
      <font>
        <color theme="9" tint="0.79998168889431442"/>
      </font>
    </dxf>
  </dxfs>
  <tableStyles count="1" defaultTableStyle="TableStyleMedium2" defaultPivotStyle="PivotStyleLight16">
    <tableStyle name="MySqlDefault" pivot="0" table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3</xdr:row>
      <xdr:rowOff>0</xdr:rowOff>
    </xdr:from>
    <xdr:to>
      <xdr:col>14</xdr:col>
      <xdr:colOff>389129</xdr:colOff>
      <xdr:row>29</xdr:row>
      <xdr:rowOff>139486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A73E6F56-75AC-79AB-5B46-0E0144D7CF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48000" y="704850"/>
          <a:ext cx="5875529" cy="4987711"/>
        </a:xfrm>
        <a:prstGeom prst="rect">
          <a:avLst/>
        </a:prstGeom>
      </xdr:spPr>
    </xdr:pic>
    <xdr:clientData/>
  </xdr:twoCellAnchor>
  <xdr:twoCellAnchor>
    <xdr:from>
      <xdr:col>4</xdr:col>
      <xdr:colOff>518160</xdr:colOff>
      <xdr:row>10</xdr:row>
      <xdr:rowOff>114300</xdr:rowOff>
    </xdr:from>
    <xdr:to>
      <xdr:col>8</xdr:col>
      <xdr:colOff>213360</xdr:colOff>
      <xdr:row>10</xdr:row>
      <xdr:rowOff>160020</xdr:rowOff>
    </xdr:to>
    <xdr:cxnSp macro="">
      <xdr:nvCxnSpPr>
        <xdr:cNvPr id="3" name="Straight Arrow Connector 2">
          <a:extLst>
            <a:ext uri="{FF2B5EF4-FFF2-40B4-BE49-F238E27FC236}">
              <a16:creationId xmlns="" xmlns:a16="http://schemas.microsoft.com/office/drawing/2014/main" id="{9DFEE39B-9753-41DE-80D4-7A395DD3ECA7}"/>
            </a:ext>
          </a:extLst>
        </xdr:cNvPr>
        <xdr:cNvCxnSpPr/>
      </xdr:nvCxnSpPr>
      <xdr:spPr>
        <a:xfrm flipV="1">
          <a:off x="2956560" y="2152650"/>
          <a:ext cx="2133600" cy="45720"/>
        </a:xfrm>
        <a:prstGeom prst="straightConnector1">
          <a:avLst/>
        </a:prstGeom>
        <a:ln w="5715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601980</xdr:colOff>
      <xdr:row>3</xdr:row>
      <xdr:rowOff>0</xdr:rowOff>
    </xdr:from>
    <xdr:to>
      <xdr:col>14</xdr:col>
      <xdr:colOff>388620</xdr:colOff>
      <xdr:row>3</xdr:row>
      <xdr:rowOff>22860</xdr:rowOff>
    </xdr:to>
    <xdr:cxnSp macro="">
      <xdr:nvCxnSpPr>
        <xdr:cNvPr id="4" name="Straight Connector 3">
          <a:extLst>
            <a:ext uri="{FF2B5EF4-FFF2-40B4-BE49-F238E27FC236}">
              <a16:creationId xmlns="" xmlns:a16="http://schemas.microsoft.com/office/drawing/2014/main" id="{D86D3194-19D6-EE76-D32E-4B026B142478}"/>
            </a:ext>
          </a:extLst>
        </xdr:cNvPr>
        <xdr:cNvCxnSpPr/>
      </xdr:nvCxnSpPr>
      <xdr:spPr>
        <a:xfrm>
          <a:off x="3040380" y="704850"/>
          <a:ext cx="5882640" cy="22860"/>
        </a:xfrm>
        <a:prstGeom prst="line">
          <a:avLst/>
        </a:prstGeom>
        <a:ln w="317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29</xdr:row>
      <xdr:rowOff>91440</xdr:rowOff>
    </xdr:from>
    <xdr:to>
      <xdr:col>14</xdr:col>
      <xdr:colOff>396240</xdr:colOff>
      <xdr:row>29</xdr:row>
      <xdr:rowOff>106680</xdr:rowOff>
    </xdr:to>
    <xdr:cxnSp macro="">
      <xdr:nvCxnSpPr>
        <xdr:cNvPr id="5" name="Straight Connector 4">
          <a:extLst>
            <a:ext uri="{FF2B5EF4-FFF2-40B4-BE49-F238E27FC236}">
              <a16:creationId xmlns="" xmlns:a16="http://schemas.microsoft.com/office/drawing/2014/main" id="{35C0A2D0-152A-4F04-B782-415523B5FE3B}"/>
            </a:ext>
          </a:extLst>
        </xdr:cNvPr>
        <xdr:cNvCxnSpPr/>
      </xdr:nvCxnSpPr>
      <xdr:spPr>
        <a:xfrm flipV="1">
          <a:off x="3048000" y="5615940"/>
          <a:ext cx="5882640" cy="15240"/>
        </a:xfrm>
        <a:prstGeom prst="line">
          <a:avLst/>
        </a:prstGeom>
        <a:ln w="317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388620</xdr:colOff>
      <xdr:row>3</xdr:row>
      <xdr:rowOff>7620</xdr:rowOff>
    </xdr:from>
    <xdr:to>
      <xdr:col>14</xdr:col>
      <xdr:colOff>388620</xdr:colOff>
      <xdr:row>29</xdr:row>
      <xdr:rowOff>106680</xdr:rowOff>
    </xdr:to>
    <xdr:cxnSp macro="">
      <xdr:nvCxnSpPr>
        <xdr:cNvPr id="6" name="Straight Connector 5">
          <a:extLst>
            <a:ext uri="{FF2B5EF4-FFF2-40B4-BE49-F238E27FC236}">
              <a16:creationId xmlns="" xmlns:a16="http://schemas.microsoft.com/office/drawing/2014/main" id="{98F324EF-EF43-4472-8D19-D6272A799A96}"/>
            </a:ext>
          </a:extLst>
        </xdr:cNvPr>
        <xdr:cNvCxnSpPr/>
      </xdr:nvCxnSpPr>
      <xdr:spPr>
        <a:xfrm>
          <a:off x="8923020" y="712470"/>
          <a:ext cx="0" cy="4918710"/>
        </a:xfrm>
        <a:prstGeom prst="line">
          <a:avLst/>
        </a:prstGeom>
        <a:ln w="317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7620</xdr:colOff>
      <xdr:row>3</xdr:row>
      <xdr:rowOff>7620</xdr:rowOff>
    </xdr:from>
    <xdr:to>
      <xdr:col>5</xdr:col>
      <xdr:colOff>7620</xdr:colOff>
      <xdr:row>29</xdr:row>
      <xdr:rowOff>106680</xdr:rowOff>
    </xdr:to>
    <xdr:cxnSp macro="">
      <xdr:nvCxnSpPr>
        <xdr:cNvPr id="7" name="Straight Connector 6">
          <a:extLst>
            <a:ext uri="{FF2B5EF4-FFF2-40B4-BE49-F238E27FC236}">
              <a16:creationId xmlns="" xmlns:a16="http://schemas.microsoft.com/office/drawing/2014/main" id="{AC5A2531-DF68-4440-B83C-91ECE27B2E21}"/>
            </a:ext>
          </a:extLst>
        </xdr:cNvPr>
        <xdr:cNvCxnSpPr/>
      </xdr:nvCxnSpPr>
      <xdr:spPr>
        <a:xfrm>
          <a:off x="3055620" y="712470"/>
          <a:ext cx="0" cy="4918710"/>
        </a:xfrm>
        <a:prstGeom prst="line">
          <a:avLst/>
        </a:prstGeom>
        <a:ln w="317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533400</xdr:colOff>
      <xdr:row>6</xdr:row>
      <xdr:rowOff>91440</xdr:rowOff>
    </xdr:from>
    <xdr:to>
      <xdr:col>10</xdr:col>
      <xdr:colOff>381000</xdr:colOff>
      <xdr:row>7</xdr:row>
      <xdr:rowOff>45720</xdr:rowOff>
    </xdr:to>
    <xdr:cxnSp macro="">
      <xdr:nvCxnSpPr>
        <xdr:cNvPr id="8" name="Straight Arrow Connector 7">
          <a:extLst>
            <a:ext uri="{FF2B5EF4-FFF2-40B4-BE49-F238E27FC236}">
              <a16:creationId xmlns="" xmlns:a16="http://schemas.microsoft.com/office/drawing/2014/main" id="{DC6A0B8A-ED17-565A-49E3-80DF99AC6FFF}"/>
            </a:ext>
          </a:extLst>
        </xdr:cNvPr>
        <xdr:cNvCxnSpPr/>
      </xdr:nvCxnSpPr>
      <xdr:spPr>
        <a:xfrm flipV="1">
          <a:off x="2971800" y="1367790"/>
          <a:ext cx="3505200" cy="135255"/>
        </a:xfrm>
        <a:prstGeom prst="straightConnector1">
          <a:avLst/>
        </a:prstGeom>
        <a:ln w="5715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510540</xdr:colOff>
      <xdr:row>10</xdr:row>
      <xdr:rowOff>152400</xdr:rowOff>
    </xdr:from>
    <xdr:to>
      <xdr:col>8</xdr:col>
      <xdr:colOff>289560</xdr:colOff>
      <xdr:row>12</xdr:row>
      <xdr:rowOff>160020</xdr:rowOff>
    </xdr:to>
    <xdr:cxnSp macro="">
      <xdr:nvCxnSpPr>
        <xdr:cNvPr id="9" name="Straight Arrow Connector 8">
          <a:extLst>
            <a:ext uri="{FF2B5EF4-FFF2-40B4-BE49-F238E27FC236}">
              <a16:creationId xmlns="" xmlns:a16="http://schemas.microsoft.com/office/drawing/2014/main" id="{1F41BBBD-14A8-4126-B86A-C158DC53A1A7}"/>
            </a:ext>
          </a:extLst>
        </xdr:cNvPr>
        <xdr:cNvCxnSpPr/>
      </xdr:nvCxnSpPr>
      <xdr:spPr>
        <a:xfrm>
          <a:off x="2948940" y="2190750"/>
          <a:ext cx="2217420" cy="369570"/>
        </a:xfrm>
        <a:prstGeom prst="straightConnector1">
          <a:avLst/>
        </a:prstGeom>
        <a:ln w="5715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548640</xdr:colOff>
      <xdr:row>10</xdr:row>
      <xdr:rowOff>160020</xdr:rowOff>
    </xdr:from>
    <xdr:to>
      <xdr:col>9</xdr:col>
      <xdr:colOff>99060</xdr:colOff>
      <xdr:row>11</xdr:row>
      <xdr:rowOff>144780</xdr:rowOff>
    </xdr:to>
    <xdr:cxnSp macro="">
      <xdr:nvCxnSpPr>
        <xdr:cNvPr id="10" name="Straight Arrow Connector 9">
          <a:extLst>
            <a:ext uri="{FF2B5EF4-FFF2-40B4-BE49-F238E27FC236}">
              <a16:creationId xmlns="" xmlns:a16="http://schemas.microsoft.com/office/drawing/2014/main" id="{5E3EABFB-8411-415F-9B5D-41CF736C5C88}"/>
            </a:ext>
          </a:extLst>
        </xdr:cNvPr>
        <xdr:cNvCxnSpPr/>
      </xdr:nvCxnSpPr>
      <xdr:spPr>
        <a:xfrm>
          <a:off x="2987040" y="2198370"/>
          <a:ext cx="2598420" cy="165735"/>
        </a:xfrm>
        <a:prstGeom prst="straightConnector1">
          <a:avLst/>
        </a:prstGeom>
        <a:ln w="5715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274320</xdr:colOff>
      <xdr:row>16</xdr:row>
      <xdr:rowOff>137160</xdr:rowOff>
    </xdr:from>
    <xdr:to>
      <xdr:col>12</xdr:col>
      <xdr:colOff>541020</xdr:colOff>
      <xdr:row>20</xdr:row>
      <xdr:rowOff>106680</xdr:rowOff>
    </xdr:to>
    <xdr:cxnSp macro="">
      <xdr:nvCxnSpPr>
        <xdr:cNvPr id="11" name="Straight Arrow Connector 10">
          <a:extLst>
            <a:ext uri="{FF2B5EF4-FFF2-40B4-BE49-F238E27FC236}">
              <a16:creationId xmlns="" xmlns:a16="http://schemas.microsoft.com/office/drawing/2014/main" id="{96889592-E406-4A7A-B629-C8CB4FFE5459}"/>
            </a:ext>
          </a:extLst>
        </xdr:cNvPr>
        <xdr:cNvCxnSpPr/>
      </xdr:nvCxnSpPr>
      <xdr:spPr>
        <a:xfrm>
          <a:off x="2712720" y="3166110"/>
          <a:ext cx="5143500" cy="741045"/>
        </a:xfrm>
        <a:prstGeom prst="straightConnector1">
          <a:avLst/>
        </a:prstGeom>
        <a:ln w="5715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236220</xdr:colOff>
      <xdr:row>16</xdr:row>
      <xdr:rowOff>129540</xdr:rowOff>
    </xdr:from>
    <xdr:to>
      <xdr:col>9</xdr:col>
      <xdr:colOff>426720</xdr:colOff>
      <xdr:row>20</xdr:row>
      <xdr:rowOff>99060</xdr:rowOff>
    </xdr:to>
    <xdr:cxnSp macro="">
      <xdr:nvCxnSpPr>
        <xdr:cNvPr id="12" name="Straight Arrow Connector 11">
          <a:extLst>
            <a:ext uri="{FF2B5EF4-FFF2-40B4-BE49-F238E27FC236}">
              <a16:creationId xmlns="" xmlns:a16="http://schemas.microsoft.com/office/drawing/2014/main" id="{CD283296-8ABC-4538-A22A-5D016516240C}"/>
            </a:ext>
          </a:extLst>
        </xdr:cNvPr>
        <xdr:cNvCxnSpPr/>
      </xdr:nvCxnSpPr>
      <xdr:spPr>
        <a:xfrm>
          <a:off x="2674620" y="3158490"/>
          <a:ext cx="3238500" cy="741045"/>
        </a:xfrm>
        <a:prstGeom prst="straightConnector1">
          <a:avLst/>
        </a:prstGeom>
        <a:ln w="5715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502920</xdr:colOff>
      <xdr:row>25</xdr:row>
      <xdr:rowOff>167640</xdr:rowOff>
    </xdr:from>
    <xdr:to>
      <xdr:col>9</xdr:col>
      <xdr:colOff>449580</xdr:colOff>
      <xdr:row>27</xdr:row>
      <xdr:rowOff>167640</xdr:rowOff>
    </xdr:to>
    <xdr:cxnSp macro="">
      <xdr:nvCxnSpPr>
        <xdr:cNvPr id="13" name="Straight Arrow Connector 12">
          <a:extLst>
            <a:ext uri="{FF2B5EF4-FFF2-40B4-BE49-F238E27FC236}">
              <a16:creationId xmlns="" xmlns:a16="http://schemas.microsoft.com/office/drawing/2014/main" id="{9FACE929-CC02-4DD7-80B0-DAF580E3F8E3}"/>
            </a:ext>
          </a:extLst>
        </xdr:cNvPr>
        <xdr:cNvCxnSpPr/>
      </xdr:nvCxnSpPr>
      <xdr:spPr>
        <a:xfrm flipV="1">
          <a:off x="2941320" y="4920615"/>
          <a:ext cx="2994660" cy="381000"/>
        </a:xfrm>
        <a:prstGeom prst="straightConnector1">
          <a:avLst/>
        </a:prstGeom>
        <a:ln w="5715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502920</xdr:colOff>
      <xdr:row>26</xdr:row>
      <xdr:rowOff>15240</xdr:rowOff>
    </xdr:from>
    <xdr:to>
      <xdr:col>12</xdr:col>
      <xdr:colOff>556260</xdr:colOff>
      <xdr:row>27</xdr:row>
      <xdr:rowOff>152400</xdr:rowOff>
    </xdr:to>
    <xdr:cxnSp macro="">
      <xdr:nvCxnSpPr>
        <xdr:cNvPr id="14" name="Straight Arrow Connector 13">
          <a:extLst>
            <a:ext uri="{FF2B5EF4-FFF2-40B4-BE49-F238E27FC236}">
              <a16:creationId xmlns="" xmlns:a16="http://schemas.microsoft.com/office/drawing/2014/main" id="{4ACDB77F-8330-408A-832C-E933C3BBFA02}"/>
            </a:ext>
          </a:extLst>
        </xdr:cNvPr>
        <xdr:cNvCxnSpPr/>
      </xdr:nvCxnSpPr>
      <xdr:spPr>
        <a:xfrm flipV="1">
          <a:off x="2941320" y="4958715"/>
          <a:ext cx="4930140" cy="327660"/>
        </a:xfrm>
        <a:prstGeom prst="straightConnector1">
          <a:avLst/>
        </a:prstGeom>
        <a:ln w="5715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42"/>
  <sheetViews>
    <sheetView workbookViewId="0">
      <selection activeCell="I20" sqref="I20"/>
    </sheetView>
  </sheetViews>
  <sheetFormatPr defaultRowHeight="15" x14ac:dyDescent="0.25"/>
  <cols>
    <col min="1" max="1" width="1.5703125" customWidth="1"/>
    <col min="2" max="2" width="0.7109375" customWidth="1"/>
    <col min="3" max="3" width="11.42578125" style="1" customWidth="1"/>
    <col min="4" max="4" width="9" style="1"/>
    <col min="5" max="5" width="121.140625" customWidth="1"/>
    <col min="6" max="6" width="0.7109375" customWidth="1"/>
  </cols>
  <sheetData>
    <row r="1" spans="2:6" ht="14.45" x14ac:dyDescent="0.5">
      <c r="C1" s="1" t="s">
        <v>154</v>
      </c>
      <c r="D1" s="1" t="s">
        <v>155</v>
      </c>
      <c r="E1" t="s">
        <v>156</v>
      </c>
    </row>
    <row r="2" spans="2:6" ht="5.25" customHeight="1" x14ac:dyDescent="0.5"/>
    <row r="3" spans="2:6" ht="4.1500000000000004" customHeight="1" x14ac:dyDescent="0.5">
      <c r="B3" s="130"/>
      <c r="C3" s="131"/>
      <c r="D3" s="131"/>
      <c r="E3" s="132"/>
      <c r="F3" s="133"/>
    </row>
    <row r="4" spans="2:6" ht="42.95" x14ac:dyDescent="0.5">
      <c r="B4" s="134"/>
      <c r="C4" s="135">
        <v>45405</v>
      </c>
      <c r="D4" s="136" t="s">
        <v>153</v>
      </c>
      <c r="E4" s="137" t="s">
        <v>157</v>
      </c>
      <c r="F4" s="138"/>
    </row>
    <row r="5" spans="2:6" ht="4.1500000000000004" customHeight="1" x14ac:dyDescent="0.5">
      <c r="B5" s="134"/>
      <c r="C5" s="139"/>
      <c r="D5" s="140"/>
      <c r="E5" s="141"/>
      <c r="F5" s="138"/>
    </row>
    <row r="6" spans="2:6" ht="28.7" x14ac:dyDescent="0.5">
      <c r="B6" s="134"/>
      <c r="C6" s="142">
        <v>45414</v>
      </c>
      <c r="D6" s="136" t="s">
        <v>158</v>
      </c>
      <c r="E6" s="137" t="s">
        <v>159</v>
      </c>
      <c r="F6" s="138"/>
    </row>
    <row r="7" spans="2:6" ht="4.1500000000000004" customHeight="1" x14ac:dyDescent="0.5">
      <c r="B7" s="134"/>
      <c r="C7" s="139"/>
      <c r="D7" s="140"/>
      <c r="E7" s="141"/>
      <c r="F7" s="138"/>
    </row>
    <row r="8" spans="2:6" ht="14.45" x14ac:dyDescent="0.5">
      <c r="B8" s="134"/>
      <c r="C8" s="142">
        <v>45453</v>
      </c>
      <c r="D8" s="136" t="s">
        <v>160</v>
      </c>
      <c r="E8" s="137" t="s">
        <v>161</v>
      </c>
      <c r="F8" s="138"/>
    </row>
    <row r="9" spans="2:6" ht="4.1500000000000004" customHeight="1" x14ac:dyDescent="0.5">
      <c r="B9" s="134"/>
      <c r="C9" s="139"/>
      <c r="D9" s="140"/>
      <c r="E9" s="141"/>
      <c r="F9" s="138"/>
    </row>
    <row r="10" spans="2:6" ht="14.45" x14ac:dyDescent="0.5">
      <c r="B10" s="134"/>
      <c r="C10" s="142">
        <v>45512</v>
      </c>
      <c r="D10" s="136" t="s">
        <v>165</v>
      </c>
      <c r="E10" s="137" t="s">
        <v>166</v>
      </c>
      <c r="F10" s="138"/>
    </row>
    <row r="11" spans="2:6" ht="4.1500000000000004" customHeight="1" x14ac:dyDescent="0.5">
      <c r="B11" s="134"/>
      <c r="C11" s="139"/>
      <c r="D11" s="140"/>
      <c r="E11" s="141"/>
      <c r="F11" s="138"/>
    </row>
    <row r="12" spans="2:6" ht="14.45" x14ac:dyDescent="0.5">
      <c r="B12" s="134"/>
      <c r="C12" s="142">
        <v>45520</v>
      </c>
      <c r="D12" s="136" t="s">
        <v>168</v>
      </c>
      <c r="E12" s="137" t="s">
        <v>169</v>
      </c>
      <c r="F12" s="138"/>
    </row>
    <row r="13" spans="2:6" ht="4.1500000000000004" customHeight="1" x14ac:dyDescent="0.5">
      <c r="B13" s="134"/>
      <c r="C13" s="139"/>
      <c r="D13" s="140"/>
      <c r="E13" s="141"/>
      <c r="F13" s="138"/>
    </row>
    <row r="14" spans="2:6" ht="28.7" x14ac:dyDescent="0.5">
      <c r="B14" s="134"/>
      <c r="C14" s="142">
        <v>45527</v>
      </c>
      <c r="D14" s="136" t="s">
        <v>170</v>
      </c>
      <c r="E14" s="137" t="s">
        <v>171</v>
      </c>
      <c r="F14" s="138"/>
    </row>
    <row r="15" spans="2:6" ht="4.1500000000000004" customHeight="1" x14ac:dyDescent="0.5">
      <c r="B15" s="134"/>
      <c r="C15" s="139"/>
      <c r="D15" s="140"/>
      <c r="E15" s="141"/>
      <c r="F15" s="138"/>
    </row>
    <row r="16" spans="2:6" ht="14.45" x14ac:dyDescent="0.5">
      <c r="B16" s="134"/>
      <c r="C16" s="142">
        <v>45635</v>
      </c>
      <c r="D16" s="136" t="s">
        <v>172</v>
      </c>
      <c r="E16" s="137" t="s">
        <v>173</v>
      </c>
      <c r="F16" s="138"/>
    </row>
    <row r="17" spans="2:6" ht="4.1500000000000004" customHeight="1" x14ac:dyDescent="0.5">
      <c r="B17" s="134"/>
      <c r="C17" s="139"/>
      <c r="D17" s="140"/>
      <c r="E17" s="141"/>
      <c r="F17" s="138"/>
    </row>
    <row r="18" spans="2:6" ht="14.45" x14ac:dyDescent="0.5">
      <c r="B18" s="134"/>
      <c r="C18" s="142"/>
      <c r="D18" s="136"/>
      <c r="E18" s="137"/>
      <c r="F18" s="138"/>
    </row>
    <row r="19" spans="2:6" ht="4.1500000000000004" customHeight="1" x14ac:dyDescent="0.5">
      <c r="B19" s="134"/>
      <c r="C19" s="139"/>
      <c r="D19" s="140"/>
      <c r="E19" s="141"/>
      <c r="F19" s="138"/>
    </row>
    <row r="20" spans="2:6" ht="14.45" x14ac:dyDescent="0.5">
      <c r="B20" s="134"/>
      <c r="C20" s="142"/>
      <c r="D20" s="136"/>
      <c r="E20" s="137"/>
      <c r="F20" s="138"/>
    </row>
    <row r="21" spans="2:6" ht="4.1500000000000004" customHeight="1" x14ac:dyDescent="0.5">
      <c r="B21" s="134"/>
      <c r="C21" s="139"/>
      <c r="D21" s="140"/>
      <c r="E21" s="141"/>
      <c r="F21" s="138"/>
    </row>
    <row r="22" spans="2:6" ht="14.45" x14ac:dyDescent="0.5">
      <c r="B22" s="134"/>
      <c r="C22" s="142"/>
      <c r="D22" s="136"/>
      <c r="E22" s="137"/>
      <c r="F22" s="138"/>
    </row>
    <row r="23" spans="2:6" ht="4.1500000000000004" customHeight="1" x14ac:dyDescent="0.5">
      <c r="B23" s="134"/>
      <c r="C23" s="139"/>
      <c r="D23" s="140"/>
      <c r="E23" s="141"/>
      <c r="F23" s="138"/>
    </row>
    <row r="24" spans="2:6" ht="14.45" x14ac:dyDescent="0.5">
      <c r="B24" s="134"/>
      <c r="C24" s="142"/>
      <c r="D24" s="136"/>
      <c r="E24" s="137"/>
      <c r="F24" s="138"/>
    </row>
    <row r="25" spans="2:6" ht="4.1500000000000004" customHeight="1" x14ac:dyDescent="0.5">
      <c r="B25" s="134"/>
      <c r="C25" s="139"/>
      <c r="D25" s="140"/>
      <c r="E25" s="141"/>
      <c r="F25" s="138"/>
    </row>
    <row r="26" spans="2:6" ht="14.45" x14ac:dyDescent="0.5">
      <c r="B26" s="134"/>
      <c r="C26" s="142"/>
      <c r="D26" s="136"/>
      <c r="E26" s="137"/>
      <c r="F26" s="138"/>
    </row>
    <row r="27" spans="2:6" ht="4.1500000000000004" customHeight="1" x14ac:dyDescent="0.5">
      <c r="B27" s="134"/>
      <c r="C27" s="139"/>
      <c r="D27" s="140"/>
      <c r="E27" s="141"/>
      <c r="F27" s="138"/>
    </row>
    <row r="28" spans="2:6" ht="14.45" x14ac:dyDescent="0.5">
      <c r="B28" s="134"/>
      <c r="C28" s="142"/>
      <c r="D28" s="136"/>
      <c r="E28" s="137"/>
      <c r="F28" s="138"/>
    </row>
    <row r="29" spans="2:6" ht="4.1500000000000004" customHeight="1" x14ac:dyDescent="0.5">
      <c r="B29" s="134"/>
      <c r="C29" s="139"/>
      <c r="D29" s="140"/>
      <c r="E29" s="141"/>
      <c r="F29" s="138"/>
    </row>
    <row r="30" spans="2:6" ht="14.45" x14ac:dyDescent="0.5">
      <c r="B30" s="134"/>
      <c r="C30" s="142"/>
      <c r="D30" s="136"/>
      <c r="E30" s="137"/>
      <c r="F30" s="138"/>
    </row>
    <row r="31" spans="2:6" ht="4.1500000000000004" customHeight="1" x14ac:dyDescent="0.5">
      <c r="B31" s="134"/>
      <c r="C31" s="139"/>
      <c r="D31" s="140"/>
      <c r="E31" s="141"/>
      <c r="F31" s="138"/>
    </row>
    <row r="32" spans="2:6" ht="14.45" x14ac:dyDescent="0.5">
      <c r="B32" s="134"/>
      <c r="C32" s="142"/>
      <c r="D32" s="136"/>
      <c r="E32" s="137"/>
      <c r="F32" s="138"/>
    </row>
    <row r="33" spans="2:6" ht="4.1500000000000004" customHeight="1" x14ac:dyDescent="0.5">
      <c r="B33" s="134"/>
      <c r="C33" s="139"/>
      <c r="D33" s="140"/>
      <c r="E33" s="141"/>
      <c r="F33" s="138"/>
    </row>
    <row r="34" spans="2:6" ht="14.45" x14ac:dyDescent="0.5">
      <c r="B34" s="134"/>
      <c r="C34" s="142"/>
      <c r="D34" s="136"/>
      <c r="E34" s="137"/>
      <c r="F34" s="138"/>
    </row>
    <row r="35" spans="2:6" ht="4.1500000000000004" customHeight="1" x14ac:dyDescent="0.5">
      <c r="B35" s="134"/>
      <c r="C35" s="139"/>
      <c r="D35" s="140"/>
      <c r="E35" s="141"/>
      <c r="F35" s="138"/>
    </row>
    <row r="36" spans="2:6" ht="14.45" x14ac:dyDescent="0.5">
      <c r="B36" s="134"/>
      <c r="C36" s="142"/>
      <c r="D36" s="136"/>
      <c r="E36" s="137"/>
      <c r="F36" s="138"/>
    </row>
    <row r="37" spans="2:6" ht="4.1500000000000004" customHeight="1" x14ac:dyDescent="0.5">
      <c r="B37" s="134"/>
      <c r="C37" s="139"/>
      <c r="D37" s="140"/>
      <c r="E37" s="141"/>
      <c r="F37" s="138"/>
    </row>
    <row r="38" spans="2:6" ht="14.45" x14ac:dyDescent="0.5">
      <c r="B38" s="134"/>
      <c r="C38" s="142"/>
      <c r="D38" s="136"/>
      <c r="E38" s="137"/>
      <c r="F38" s="138"/>
    </row>
    <row r="39" spans="2:6" ht="4.1500000000000004" customHeight="1" x14ac:dyDescent="0.5">
      <c r="B39" s="143"/>
      <c r="C39" s="144"/>
      <c r="D39" s="140"/>
      <c r="E39" s="141"/>
      <c r="F39" s="145"/>
    </row>
    <row r="40" spans="2:6" ht="14.45" x14ac:dyDescent="0.5">
      <c r="C40" s="146"/>
      <c r="D40" s="147"/>
      <c r="E40" s="148"/>
    </row>
    <row r="41" spans="2:6" ht="14.45" x14ac:dyDescent="0.5">
      <c r="C41" s="146"/>
      <c r="D41" s="147"/>
      <c r="E41" s="148"/>
    </row>
    <row r="42" spans="2:6" ht="14.45" x14ac:dyDescent="0.5">
      <c r="C42" s="146"/>
      <c r="D42" s="147"/>
      <c r="E42" s="148"/>
    </row>
  </sheetData>
  <sheetProtection algorithmName="SHA-512" hashValue="d6FTEdif1wuJL+pdVfsN7ZG0QXvWyncp3VduB2oJAChyfwt1ggT4lX/RoqPc+2kzgjiKcmW+3ST8i8xKjPgyMQ==" saltValue="FIJ9Phomh2ggZCh00yOiAw==" spinCount="100000" sheet="1" selectLockedCells="1" selectUnlockedCell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E29"/>
  <sheetViews>
    <sheetView workbookViewId="0">
      <selection activeCell="B15" sqref="B15"/>
    </sheetView>
  </sheetViews>
  <sheetFormatPr defaultRowHeight="15" x14ac:dyDescent="0.25"/>
  <sheetData>
    <row r="2" spans="2:5" ht="26.25" x14ac:dyDescent="0.4">
      <c r="B2" s="155" t="s">
        <v>175</v>
      </c>
    </row>
    <row r="6" spans="2:5" ht="15.75" thickBot="1" x14ac:dyDescent="0.3"/>
    <row r="7" spans="2:5" ht="14.45" customHeight="1" x14ac:dyDescent="0.25">
      <c r="B7" s="156" t="s">
        <v>176</v>
      </c>
      <c r="C7" s="157"/>
      <c r="D7" s="157"/>
      <c r="E7" s="158"/>
    </row>
    <row r="8" spans="2:5" x14ac:dyDescent="0.25">
      <c r="B8" s="159"/>
      <c r="C8" s="160"/>
      <c r="D8" s="160"/>
      <c r="E8" s="161"/>
    </row>
    <row r="9" spans="2:5" ht="15.75" thickBot="1" x14ac:dyDescent="0.3">
      <c r="B9" s="162"/>
      <c r="C9" s="163"/>
      <c r="D9" s="163"/>
      <c r="E9" s="164"/>
    </row>
    <row r="10" spans="2:5" x14ac:dyDescent="0.25">
      <c r="B10" s="156" t="s">
        <v>179</v>
      </c>
      <c r="C10" s="157"/>
      <c r="D10" s="157"/>
      <c r="E10" s="158"/>
    </row>
    <row r="11" spans="2:5" ht="14.45" customHeight="1" x14ac:dyDescent="0.25">
      <c r="B11" s="159"/>
      <c r="C11" s="160"/>
      <c r="D11" s="160"/>
      <c r="E11" s="161"/>
    </row>
    <row r="12" spans="2:5" ht="14.45" customHeight="1" x14ac:dyDescent="0.25">
      <c r="B12" s="159"/>
      <c r="C12" s="160"/>
      <c r="D12" s="160"/>
      <c r="E12" s="161"/>
    </row>
    <row r="13" spans="2:5" ht="18" customHeight="1" x14ac:dyDescent="0.25">
      <c r="B13" s="159"/>
      <c r="C13" s="160"/>
      <c r="D13" s="160"/>
      <c r="E13" s="161"/>
    </row>
    <row r="14" spans="2:5" ht="1.9" customHeight="1" thickBot="1" x14ac:dyDescent="0.3">
      <c r="B14" s="162"/>
      <c r="C14" s="163"/>
      <c r="D14" s="163"/>
      <c r="E14" s="164"/>
    </row>
    <row r="16" spans="2:5" ht="15.75" thickBot="1" x14ac:dyDescent="0.3"/>
    <row r="17" spans="2:5" x14ac:dyDescent="0.25">
      <c r="B17" s="165" t="s">
        <v>177</v>
      </c>
      <c r="C17" s="166"/>
      <c r="D17" s="166"/>
      <c r="E17" s="167"/>
    </row>
    <row r="18" spans="2:5" ht="15.75" thickBot="1" x14ac:dyDescent="0.3">
      <c r="B18" s="168"/>
      <c r="C18" s="169"/>
      <c r="D18" s="169"/>
      <c r="E18" s="170"/>
    </row>
    <row r="27" spans="2:5" ht="15.75" thickBot="1" x14ac:dyDescent="0.3"/>
    <row r="28" spans="2:5" x14ac:dyDescent="0.25">
      <c r="B28" s="165" t="s">
        <v>178</v>
      </c>
      <c r="C28" s="166"/>
      <c r="D28" s="166"/>
      <c r="E28" s="167"/>
    </row>
    <row r="29" spans="2:5" ht="15.75" thickBot="1" x14ac:dyDescent="0.3">
      <c r="B29" s="168"/>
      <c r="C29" s="169"/>
      <c r="D29" s="169"/>
      <c r="E29" s="170"/>
    </row>
  </sheetData>
  <mergeCells count="4">
    <mergeCell ref="B7:E9"/>
    <mergeCell ref="B10:E14"/>
    <mergeCell ref="B17:E18"/>
    <mergeCell ref="B28:E29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U59"/>
  <sheetViews>
    <sheetView tabSelected="1" workbookViewId="0">
      <selection activeCell="F9" sqref="F9"/>
    </sheetView>
  </sheetViews>
  <sheetFormatPr defaultRowHeight="15" x14ac:dyDescent="0.25"/>
  <cols>
    <col min="2" max="2" width="4.42578125" customWidth="1"/>
    <col min="3" max="3" width="27.42578125" customWidth="1"/>
    <col min="5" max="5" width="13" customWidth="1"/>
    <col min="6" max="6" width="10.140625" bestFit="1" customWidth="1"/>
    <col min="7" max="7" width="28.7109375" customWidth="1"/>
    <col min="8" max="8" width="10" bestFit="1" customWidth="1"/>
    <col min="10" max="13" width="9" style="85" hidden="1" customWidth="1"/>
    <col min="14" max="18" width="9" style="85"/>
  </cols>
  <sheetData>
    <row r="1" spans="3:21" ht="14.65" thickBot="1" x14ac:dyDescent="0.55000000000000004">
      <c r="S1" s="23"/>
      <c r="T1" s="23"/>
      <c r="U1" s="23"/>
    </row>
    <row r="2" spans="3:21" ht="14.45" x14ac:dyDescent="0.5">
      <c r="C2" s="171" t="s">
        <v>22</v>
      </c>
      <c r="D2" s="172"/>
      <c r="E2" s="2"/>
      <c r="F2" s="2"/>
      <c r="G2" s="2"/>
      <c r="H2" s="2"/>
      <c r="I2" s="3"/>
      <c r="S2" s="23"/>
      <c r="T2" s="23"/>
      <c r="U2" s="23"/>
    </row>
    <row r="3" spans="3:21" ht="20.100000000000001" customHeight="1" x14ac:dyDescent="0.5">
      <c r="C3" s="173" t="s">
        <v>23</v>
      </c>
      <c r="D3" s="174"/>
      <c r="E3" s="5"/>
      <c r="F3" s="30"/>
      <c r="G3" s="71"/>
      <c r="H3" s="5"/>
      <c r="I3" s="6"/>
      <c r="S3" s="23"/>
      <c r="T3" s="23"/>
      <c r="U3" s="23"/>
    </row>
    <row r="4" spans="3:21" ht="14.45" x14ac:dyDescent="0.5">
      <c r="C4" s="52"/>
      <c r="D4" s="53"/>
      <c r="E4" s="5"/>
      <c r="F4" s="5"/>
      <c r="G4" s="5"/>
      <c r="H4" s="5"/>
      <c r="I4" s="6"/>
      <c r="S4" s="23"/>
      <c r="T4" s="23"/>
      <c r="U4" s="23"/>
    </row>
    <row r="5" spans="3:21" ht="20.100000000000001" customHeight="1" x14ac:dyDescent="0.5">
      <c r="C5" s="4"/>
      <c r="D5" s="5"/>
      <c r="E5" s="31" t="s">
        <v>21</v>
      </c>
      <c r="F5" s="32"/>
      <c r="G5" s="33" t="s">
        <v>6</v>
      </c>
      <c r="H5" s="5"/>
      <c r="I5" s="6"/>
      <c r="S5" s="23"/>
      <c r="T5" s="23"/>
      <c r="U5" s="23"/>
    </row>
    <row r="6" spans="3:21" ht="14.45" x14ac:dyDescent="0.5">
      <c r="C6" s="4"/>
      <c r="D6" s="5"/>
      <c r="E6" s="5"/>
      <c r="F6" s="5"/>
      <c r="G6" s="5"/>
      <c r="H6" s="5"/>
      <c r="I6" s="6"/>
      <c r="S6" s="23"/>
      <c r="T6" s="23"/>
      <c r="U6" s="23"/>
    </row>
    <row r="7" spans="3:21" ht="14.45" x14ac:dyDescent="0.5">
      <c r="C7" s="4"/>
      <c r="D7" s="5"/>
      <c r="E7" s="5"/>
      <c r="F7" s="18" t="s">
        <v>2</v>
      </c>
      <c r="G7" s="5"/>
      <c r="H7" s="18" t="s">
        <v>1</v>
      </c>
      <c r="I7" s="6"/>
      <c r="K7" s="85" t="s">
        <v>45</v>
      </c>
      <c r="M7" s="85" t="s">
        <v>46</v>
      </c>
      <c r="S7" s="23"/>
      <c r="T7" s="23"/>
      <c r="U7" s="23"/>
    </row>
    <row r="8" spans="3:21" ht="14.45" x14ac:dyDescent="0.5">
      <c r="C8" s="4"/>
      <c r="D8" s="5"/>
      <c r="E8" s="5"/>
      <c r="F8" s="5"/>
      <c r="G8" s="5"/>
      <c r="H8" s="5"/>
      <c r="I8" s="6"/>
      <c r="S8" s="23"/>
      <c r="T8" s="23"/>
      <c r="U8" s="23"/>
    </row>
    <row r="9" spans="3:21" ht="20.100000000000001" customHeight="1" x14ac:dyDescent="0.5">
      <c r="C9" s="105" t="s">
        <v>126</v>
      </c>
      <c r="D9" s="5"/>
      <c r="E9" s="7" t="s">
        <v>113</v>
      </c>
      <c r="F9" s="45">
        <v>68.099999999999994</v>
      </c>
      <c r="G9" s="7" t="s">
        <v>11</v>
      </c>
      <c r="H9" s="45">
        <v>71.2</v>
      </c>
      <c r="I9" s="6"/>
      <c r="J9" s="85" t="s">
        <v>16</v>
      </c>
      <c r="K9" s="95">
        <f>F9-F10</f>
        <v>-0.90000000000000568</v>
      </c>
      <c r="L9" s="95"/>
      <c r="M9" s="95">
        <f>H9-H10</f>
        <v>-0.79999999999999716</v>
      </c>
      <c r="N9" s="95"/>
      <c r="S9" s="23"/>
      <c r="T9" s="23"/>
      <c r="U9" s="23"/>
    </row>
    <row r="10" spans="3:21" ht="20.100000000000001" customHeight="1" x14ac:dyDescent="0.5">
      <c r="C10" s="106" t="s">
        <v>127</v>
      </c>
      <c r="D10" s="5"/>
      <c r="E10" s="7" t="s">
        <v>0</v>
      </c>
      <c r="F10" s="29">
        <v>69</v>
      </c>
      <c r="G10" s="7" t="s">
        <v>0</v>
      </c>
      <c r="H10" s="29">
        <v>72</v>
      </c>
      <c r="I10" s="6"/>
      <c r="J10" s="85" t="s">
        <v>100</v>
      </c>
      <c r="K10" s="95">
        <f>TRUNC(K9)</f>
        <v>0</v>
      </c>
      <c r="M10" s="95">
        <f>TRUNC(M9)</f>
        <v>0</v>
      </c>
      <c r="N10" s="95"/>
      <c r="R10" s="23"/>
      <c r="S10" s="23"/>
      <c r="T10" s="23"/>
    </row>
    <row r="11" spans="3:21" ht="20.100000000000001" customHeight="1" x14ac:dyDescent="0.5">
      <c r="C11" s="106" t="s">
        <v>128</v>
      </c>
      <c r="D11" s="5"/>
      <c r="E11" s="7" t="s">
        <v>114</v>
      </c>
      <c r="F11" s="29">
        <v>125</v>
      </c>
      <c r="G11" s="7" t="s">
        <v>12</v>
      </c>
      <c r="H11" s="29">
        <v>128</v>
      </c>
      <c r="I11" s="6"/>
      <c r="J11" s="85" t="s">
        <v>101</v>
      </c>
      <c r="K11" s="95">
        <f>K9-K10</f>
        <v>-0.90000000000000568</v>
      </c>
      <c r="M11" s="95">
        <f>M9-M10</f>
        <v>-0.79999999999999716</v>
      </c>
      <c r="S11" s="23"/>
      <c r="T11" s="23"/>
      <c r="U11" s="23"/>
    </row>
    <row r="12" spans="3:21" ht="20.100000000000001" customHeight="1" x14ac:dyDescent="0.5">
      <c r="C12" s="106" t="s">
        <v>129</v>
      </c>
      <c r="D12" s="5"/>
      <c r="E12" s="10" t="s">
        <v>16</v>
      </c>
      <c r="F12" s="34">
        <f>IF(F9&gt;0,K12,0)</f>
        <v>-1</v>
      </c>
      <c r="G12" s="10"/>
      <c r="H12" s="34">
        <f>IF(H9&gt;0,M12,0)</f>
        <v>-1</v>
      </c>
      <c r="I12" s="6"/>
      <c r="J12" s="85" t="s">
        <v>102</v>
      </c>
      <c r="K12" s="85">
        <f>IF(K9&lt;0,IF(K11&lt;-0.5,K10-1,K10),ROUND(K9,0))</f>
        <v>-1</v>
      </c>
      <c r="M12" s="85">
        <f>IF(M9&lt;0,IF(M11&lt;-0.5,M10-1,M10),ROUND(M9,0))</f>
        <v>-1</v>
      </c>
      <c r="S12" s="23"/>
      <c r="T12" s="23"/>
      <c r="U12" s="23"/>
    </row>
    <row r="13" spans="3:21" ht="20.100000000000001" customHeight="1" x14ac:dyDescent="0.5">
      <c r="C13" s="106" t="s">
        <v>130</v>
      </c>
      <c r="D13" s="5"/>
      <c r="E13" s="5"/>
      <c r="F13" s="5"/>
      <c r="G13" s="5"/>
      <c r="H13" s="5"/>
      <c r="I13" s="6"/>
      <c r="S13" s="23"/>
      <c r="T13" s="23"/>
      <c r="U13" s="23"/>
    </row>
    <row r="14" spans="3:21" ht="20.100000000000001" customHeight="1" x14ac:dyDescent="0.55000000000000004">
      <c r="C14" s="106" t="s">
        <v>131</v>
      </c>
      <c r="D14" s="5"/>
      <c r="E14" s="27" t="s">
        <v>13</v>
      </c>
      <c r="F14" s="28">
        <f>D41</f>
        <v>0</v>
      </c>
      <c r="G14" s="26"/>
      <c r="H14" s="28">
        <f>E41</f>
        <v>0</v>
      </c>
      <c r="I14" s="6"/>
      <c r="S14" s="23"/>
      <c r="T14" s="23"/>
      <c r="U14" s="23"/>
    </row>
    <row r="15" spans="3:21" ht="14.45" x14ac:dyDescent="0.5">
      <c r="C15" s="4"/>
      <c r="D15" s="5"/>
      <c r="E15" s="7"/>
      <c r="F15" s="8"/>
      <c r="G15" s="5"/>
      <c r="H15" s="8"/>
      <c r="I15" s="6"/>
      <c r="S15" s="23"/>
      <c r="T15" s="23"/>
      <c r="U15" s="23"/>
    </row>
    <row r="16" spans="3:21" ht="14.45" x14ac:dyDescent="0.5">
      <c r="C16" s="181" t="s">
        <v>58</v>
      </c>
      <c r="D16" s="182"/>
      <c r="E16" s="182"/>
      <c r="F16" s="182"/>
      <c r="G16" s="182"/>
      <c r="H16" s="182"/>
      <c r="I16" s="183"/>
      <c r="S16" s="23"/>
      <c r="T16" s="23"/>
      <c r="U16" s="23"/>
    </row>
    <row r="17" spans="1:21" ht="14.45" x14ac:dyDescent="0.5">
      <c r="C17" s="4"/>
      <c r="D17" s="5"/>
      <c r="E17" s="5"/>
      <c r="F17" s="5"/>
      <c r="G17" s="5"/>
      <c r="H17" s="7" t="s">
        <v>163</v>
      </c>
      <c r="I17" s="6"/>
      <c r="S17" s="23"/>
      <c r="T17" s="23"/>
      <c r="U17" s="23"/>
    </row>
    <row r="18" spans="1:21" x14ac:dyDescent="0.5">
      <c r="C18" s="4"/>
      <c r="D18" s="56" t="s">
        <v>117</v>
      </c>
      <c r="E18" s="5"/>
      <c r="F18" s="5"/>
      <c r="G18" s="5"/>
      <c r="H18" s="5"/>
      <c r="I18" s="6"/>
      <c r="S18" s="23"/>
      <c r="T18" s="23"/>
      <c r="U18" s="23"/>
    </row>
    <row r="19" spans="1:21" ht="14.45" x14ac:dyDescent="0.5">
      <c r="C19" s="4"/>
      <c r="D19" s="9" t="s">
        <v>3</v>
      </c>
      <c r="E19" s="5"/>
      <c r="F19" s="20">
        <v>5.8</v>
      </c>
      <c r="G19" s="5"/>
      <c r="H19" s="20">
        <v>20.6</v>
      </c>
      <c r="I19" s="6"/>
      <c r="S19" s="23"/>
      <c r="T19" s="23"/>
      <c r="U19" s="23"/>
    </row>
    <row r="20" spans="1:21" ht="4.1500000000000004" customHeight="1" x14ac:dyDescent="0.5">
      <c r="C20" s="4"/>
      <c r="D20" s="7"/>
      <c r="E20" s="5"/>
      <c r="F20" s="44"/>
      <c r="G20" s="5"/>
      <c r="H20" s="44"/>
      <c r="I20" s="6"/>
      <c r="S20" s="23"/>
      <c r="T20" s="23"/>
      <c r="U20" s="23"/>
    </row>
    <row r="21" spans="1:21" x14ac:dyDescent="0.5">
      <c r="C21" s="4"/>
      <c r="D21" s="9" t="s">
        <v>115</v>
      </c>
      <c r="E21" s="5"/>
      <c r="F21" s="123">
        <f>F52</f>
        <v>5.5159292035398177</v>
      </c>
      <c r="G21" s="41"/>
      <c r="H21" s="123">
        <f>H52</f>
        <v>22.534513274336287</v>
      </c>
      <c r="I21" s="6"/>
      <c r="S21" s="23"/>
      <c r="T21" s="23"/>
      <c r="U21" s="23"/>
    </row>
    <row r="22" spans="1:21" ht="14.45" x14ac:dyDescent="0.5">
      <c r="C22" s="4"/>
      <c r="D22" s="7" t="s">
        <v>4</v>
      </c>
      <c r="E22" s="43">
        <f>F41</f>
        <v>0.95</v>
      </c>
      <c r="F22" s="122">
        <f>F21*F41</f>
        <v>5.2401327433628264</v>
      </c>
      <c r="G22" s="41"/>
      <c r="H22" s="122">
        <f>H21*F41</f>
        <v>21.407787610619472</v>
      </c>
      <c r="I22" s="6"/>
      <c r="S22" s="23"/>
      <c r="T22" s="23"/>
      <c r="U22" s="23"/>
    </row>
    <row r="23" spans="1:21" ht="14.45" x14ac:dyDescent="0.5">
      <c r="C23" s="4"/>
      <c r="D23" s="9" t="s">
        <v>13</v>
      </c>
      <c r="E23" s="5"/>
      <c r="F23" s="54">
        <f>F14</f>
        <v>0</v>
      </c>
      <c r="G23" s="42"/>
      <c r="H23" s="54">
        <f>H14</f>
        <v>0</v>
      </c>
      <c r="I23" s="6"/>
      <c r="S23" s="23"/>
      <c r="T23" s="23"/>
      <c r="U23" s="23"/>
    </row>
    <row r="24" spans="1:21" ht="14.45" x14ac:dyDescent="0.5">
      <c r="C24" s="4"/>
      <c r="D24" s="7"/>
      <c r="E24" s="5"/>
      <c r="F24" s="8"/>
      <c r="G24" s="8"/>
      <c r="H24" s="8"/>
      <c r="I24" s="6"/>
      <c r="S24" s="23"/>
      <c r="T24" s="23"/>
      <c r="U24" s="23"/>
    </row>
    <row r="25" spans="1:21" ht="18" x14ac:dyDescent="0.6">
      <c r="C25" s="4"/>
      <c r="D25" s="24" t="s">
        <v>116</v>
      </c>
      <c r="E25" s="25"/>
      <c r="F25" s="17">
        <f>F59</f>
        <v>5</v>
      </c>
      <c r="G25" s="26"/>
      <c r="H25" s="17">
        <f>H59</f>
        <v>21</v>
      </c>
      <c r="I25" s="6"/>
      <c r="S25" s="23"/>
      <c r="T25" s="23"/>
      <c r="U25" s="23"/>
    </row>
    <row r="26" spans="1:21" ht="14.45" x14ac:dyDescent="0.5">
      <c r="C26" s="4"/>
      <c r="D26" s="5"/>
      <c r="E26" s="5"/>
      <c r="F26" s="5"/>
      <c r="G26" s="5"/>
      <c r="H26" s="5"/>
      <c r="I26" s="6"/>
      <c r="S26" s="23"/>
      <c r="T26" s="23"/>
      <c r="U26" s="23"/>
    </row>
    <row r="27" spans="1:21" ht="14.45" x14ac:dyDescent="0.5">
      <c r="C27" s="87" t="s">
        <v>174</v>
      </c>
      <c r="D27" s="5"/>
      <c r="E27" s="5"/>
      <c r="F27" s="5"/>
      <c r="G27" s="5"/>
      <c r="H27" s="5"/>
      <c r="I27" s="6"/>
      <c r="S27" s="23"/>
      <c r="T27" s="23"/>
      <c r="U27" s="23"/>
    </row>
    <row r="28" spans="1:21" x14ac:dyDescent="0.25">
      <c r="C28" s="175" t="s">
        <v>95</v>
      </c>
      <c r="D28" s="176"/>
      <c r="E28" s="176"/>
      <c r="F28" s="176"/>
      <c r="G28" s="176"/>
      <c r="H28" s="176"/>
      <c r="I28" s="177"/>
      <c r="S28" s="23"/>
      <c r="T28" s="23"/>
      <c r="U28" s="23"/>
    </row>
    <row r="29" spans="1:21" ht="15.75" thickBot="1" x14ac:dyDescent="0.3">
      <c r="C29" s="178"/>
      <c r="D29" s="179"/>
      <c r="E29" s="179"/>
      <c r="F29" s="179"/>
      <c r="G29" s="179"/>
      <c r="H29" s="179"/>
      <c r="I29" s="180"/>
      <c r="S29" s="23"/>
      <c r="T29" s="23"/>
      <c r="U29" s="23"/>
    </row>
    <row r="30" spans="1:21" ht="14.45" hidden="1" x14ac:dyDescent="0.5">
      <c r="D30" t="s">
        <v>14</v>
      </c>
      <c r="E30" t="s">
        <v>15</v>
      </c>
      <c r="S30" s="23"/>
      <c r="T30" s="23"/>
      <c r="U30" s="23"/>
    </row>
    <row r="31" spans="1:21" ht="14.45" hidden="1" x14ac:dyDescent="0.5">
      <c r="A31">
        <v>1</v>
      </c>
      <c r="C31" t="s">
        <v>5</v>
      </c>
      <c r="D31" s="1">
        <f>IF($H$10&gt;$F$10,0,$F$10-$H$10)</f>
        <v>0</v>
      </c>
      <c r="E31" s="1">
        <f>IF($F$10&gt;$H$10,0,$H$10-$F$10)</f>
        <v>3</v>
      </c>
      <c r="F31">
        <v>0.95</v>
      </c>
      <c r="S31" s="23"/>
      <c r="T31" s="23"/>
      <c r="U31" s="23"/>
    </row>
    <row r="32" spans="1:21" ht="14.45" hidden="1" x14ac:dyDescent="0.5">
      <c r="A32">
        <v>2</v>
      </c>
      <c r="C32" t="s">
        <v>24</v>
      </c>
      <c r="D32" s="1">
        <f>ROUND(IF($H$9&gt;$F$9,0,$F$9-$H$9),0)</f>
        <v>0</v>
      </c>
      <c r="E32" s="1">
        <f>ROUND(IF($F$9&gt;$H$9,0,$H$9-$F$9),0)</f>
        <v>3</v>
      </c>
      <c r="F32">
        <v>1</v>
      </c>
      <c r="S32" s="23"/>
      <c r="T32" s="23"/>
      <c r="U32" s="23"/>
    </row>
    <row r="33" spans="1:21" ht="14.45" hidden="1" x14ac:dyDescent="0.5">
      <c r="A33">
        <v>3</v>
      </c>
      <c r="C33" t="s">
        <v>6</v>
      </c>
      <c r="D33" s="1">
        <v>0</v>
      </c>
      <c r="E33" s="1">
        <v>0</v>
      </c>
      <c r="F33">
        <v>0.95</v>
      </c>
      <c r="S33" s="23"/>
      <c r="T33" s="23"/>
      <c r="U33" s="23"/>
    </row>
    <row r="34" spans="1:21" ht="14.45" hidden="1" x14ac:dyDescent="0.5">
      <c r="A34">
        <v>4</v>
      </c>
      <c r="C34" t="s">
        <v>162</v>
      </c>
      <c r="D34" s="1">
        <f>IF(K12&gt;M12,K12-M12,0)</f>
        <v>0</v>
      </c>
      <c r="E34" s="1">
        <f>IF(M12&gt;K12,M12-K12,0)</f>
        <v>0</v>
      </c>
      <c r="F34">
        <v>1</v>
      </c>
      <c r="S34" s="23"/>
      <c r="T34" s="23"/>
      <c r="U34" s="23"/>
    </row>
    <row r="35" spans="1:21" ht="14.45" hidden="1" x14ac:dyDescent="0.5">
      <c r="A35">
        <v>5</v>
      </c>
      <c r="C35" t="s">
        <v>7</v>
      </c>
      <c r="D35" s="1">
        <f>IF(H10&gt;F10,0,F10-H10)</f>
        <v>0</v>
      </c>
      <c r="E35" s="1">
        <f>IF($F$10&gt;$H$10,0,$H$10-$F$10)</f>
        <v>3</v>
      </c>
      <c r="F35">
        <v>1</v>
      </c>
      <c r="S35" s="23"/>
      <c r="T35" s="23"/>
      <c r="U35" s="23"/>
    </row>
    <row r="36" spans="1:21" ht="14.45" hidden="1" x14ac:dyDescent="0.5">
      <c r="A36">
        <v>6</v>
      </c>
      <c r="C36" t="s">
        <v>8</v>
      </c>
      <c r="D36" s="1">
        <f>IF($H$10&gt;$F$10,0,$F$10-$H$10)</f>
        <v>0</v>
      </c>
      <c r="E36" s="1">
        <f>IF($F$10&gt;$H$10,0,$H$10-$F$10)</f>
        <v>3</v>
      </c>
      <c r="F36">
        <v>0.85</v>
      </c>
      <c r="S36" s="23"/>
      <c r="T36" s="23"/>
      <c r="U36" s="23"/>
    </row>
    <row r="37" spans="1:21" ht="14.45" hidden="1" x14ac:dyDescent="0.5">
      <c r="A37">
        <v>7</v>
      </c>
      <c r="C37" t="s">
        <v>9</v>
      </c>
      <c r="D37" s="1">
        <v>0</v>
      </c>
      <c r="E37" s="1">
        <v>0</v>
      </c>
      <c r="F37">
        <v>0.85</v>
      </c>
      <c r="S37" s="23"/>
      <c r="T37" s="23"/>
      <c r="U37" s="23"/>
    </row>
    <row r="38" spans="1:21" ht="14.45" hidden="1" x14ac:dyDescent="0.5">
      <c r="A38">
        <v>8</v>
      </c>
      <c r="C38" t="s">
        <v>20</v>
      </c>
      <c r="D38" s="1">
        <v>0</v>
      </c>
      <c r="E38" s="1">
        <v>0</v>
      </c>
      <c r="F38">
        <v>0.9</v>
      </c>
      <c r="S38" s="23"/>
      <c r="T38" s="23"/>
      <c r="U38" s="23"/>
    </row>
    <row r="39" spans="1:21" ht="14.45" hidden="1" x14ac:dyDescent="0.5">
      <c r="A39">
        <v>9</v>
      </c>
      <c r="C39" t="s">
        <v>10</v>
      </c>
      <c r="D39" s="1">
        <f>IF($H$10&gt;$F$10,0,$F$10-$H$10)</f>
        <v>0</v>
      </c>
      <c r="E39" s="1">
        <f>IF($F$10&gt;$H$10,0,$H$10-$F$10)</f>
        <v>3</v>
      </c>
      <c r="F39">
        <v>1</v>
      </c>
      <c r="S39" s="23"/>
      <c r="T39" s="23"/>
      <c r="U39" s="23"/>
    </row>
    <row r="40" spans="1:21" ht="14.45" hidden="1" x14ac:dyDescent="0.5"/>
    <row r="41" spans="1:21" ht="14.45" hidden="1" x14ac:dyDescent="0.5">
      <c r="D41" s="1">
        <f>VLOOKUP(G5,C31:D39,2,FALSE)</f>
        <v>0</v>
      </c>
      <c r="E41" s="1">
        <f>VLOOKUP(G5,C31:E39,3,FALSE)</f>
        <v>0</v>
      </c>
      <c r="F41">
        <f>VLOOKUP(G5,C31:F39,4,FALSE)</f>
        <v>0.95</v>
      </c>
    </row>
    <row r="42" spans="1:21" ht="14.45" hidden="1" x14ac:dyDescent="0.5"/>
    <row r="43" spans="1:21" ht="14.45" hidden="1" x14ac:dyDescent="0.5">
      <c r="C43" t="s">
        <v>26</v>
      </c>
    </row>
    <row r="44" spans="1:21" ht="14.45" hidden="1" x14ac:dyDescent="0.5">
      <c r="C44" t="s">
        <v>27</v>
      </c>
    </row>
    <row r="45" spans="1:21" ht="14.45" hidden="1" x14ac:dyDescent="0.5">
      <c r="C45" t="s">
        <v>28</v>
      </c>
    </row>
    <row r="46" spans="1:21" ht="14.45" hidden="1" x14ac:dyDescent="0.5">
      <c r="C46" t="s">
        <v>29</v>
      </c>
      <c r="F46" t="s">
        <v>72</v>
      </c>
      <c r="H46" t="s">
        <v>72</v>
      </c>
    </row>
    <row r="47" spans="1:21" ht="14.45" hidden="1" x14ac:dyDescent="0.5"/>
    <row r="48" spans="1:21" ht="14.45" hidden="1" x14ac:dyDescent="0.5">
      <c r="E48" t="s">
        <v>73</v>
      </c>
      <c r="F48" s="120">
        <f>(F19*F11/113)+(F9-F10)</f>
        <v>5.5159292035398177</v>
      </c>
      <c r="H48" s="120">
        <f>(H19*H11/113)+(H9-H10)</f>
        <v>22.534513274336287</v>
      </c>
    </row>
    <row r="49" spans="6:8" ht="14.45" hidden="1" x14ac:dyDescent="0.5">
      <c r="F49" s="120">
        <f>IF(F48&lt;0,F48*-1,F48)</f>
        <v>5.5159292035398177</v>
      </c>
      <c r="H49" s="120">
        <f>IF(H48&lt;0,H48*-1,H48)</f>
        <v>22.534513274336287</v>
      </c>
    </row>
    <row r="50" spans="6:8" ht="14.45" hidden="1" x14ac:dyDescent="0.5">
      <c r="F50" s="120">
        <f>IF(F49-INT(F49)=0.5,IF(F48&lt;0,F48+0.001,F48),F48)</f>
        <v>5.5159292035398177</v>
      </c>
      <c r="H50" s="120">
        <f>IF(H49-INT(H49)=0.5,IF(H48&lt;0,H48+0.001,H48),H48)</f>
        <v>22.534513274336287</v>
      </c>
    </row>
    <row r="51" spans="6:8" ht="14.45" hidden="1" x14ac:dyDescent="0.5">
      <c r="F51" s="76">
        <f>ROUND(F50,0)</f>
        <v>6</v>
      </c>
      <c r="H51" s="76">
        <f>ROUND(H50,0)</f>
        <v>23</v>
      </c>
    </row>
    <row r="52" spans="6:8" ht="14.45" hidden="1" x14ac:dyDescent="0.5">
      <c r="F52" s="121">
        <f>F48</f>
        <v>5.5159292035398177</v>
      </c>
      <c r="H52" s="120">
        <f>H48</f>
        <v>22.534513274336287</v>
      </c>
    </row>
    <row r="53" spans="6:8" ht="14.45" hidden="1" x14ac:dyDescent="0.5"/>
    <row r="54" spans="6:8" ht="14.45" hidden="1" x14ac:dyDescent="0.5">
      <c r="F54" t="s">
        <v>19</v>
      </c>
      <c r="H54" t="s">
        <v>19</v>
      </c>
    </row>
    <row r="55" spans="6:8" ht="14.45" hidden="1" x14ac:dyDescent="0.5"/>
    <row r="56" spans="6:8" ht="14.45" hidden="1" x14ac:dyDescent="0.5">
      <c r="F56" s="120">
        <f>F22+F23</f>
        <v>5.2401327433628264</v>
      </c>
      <c r="G56" s="120"/>
      <c r="H56" s="120">
        <f>H22+H23</f>
        <v>21.407787610619472</v>
      </c>
    </row>
    <row r="57" spans="6:8" ht="14.45" hidden="1" x14ac:dyDescent="0.5">
      <c r="F57" s="120">
        <f>IF(F56&lt;0,F56*-1,F56)</f>
        <v>5.2401327433628264</v>
      </c>
      <c r="G57" s="120"/>
      <c r="H57" s="120">
        <f>IF(H56&lt;0,ROUND(H56*-1,3),ROUND(H56,3))</f>
        <v>21.408000000000001</v>
      </c>
    </row>
    <row r="58" spans="6:8" ht="14.45" hidden="1" x14ac:dyDescent="0.5">
      <c r="F58" s="120">
        <f>IF(F57-INT(F57)=0.5,IF(F56&lt;0,F56+0.001,F56),F56)</f>
        <v>5.2401327433628264</v>
      </c>
      <c r="G58" s="120"/>
      <c r="H58" s="120">
        <f>IF(H57-INT(H57)=0.5,IF(H56&lt;0,H56+0.001,H56),H56)</f>
        <v>21.407787610619472</v>
      </c>
    </row>
    <row r="59" spans="6:8" ht="14.45" hidden="1" x14ac:dyDescent="0.5">
      <c r="F59">
        <f>ROUND(F58,0)</f>
        <v>5</v>
      </c>
      <c r="H59">
        <f>ROUND(H58,0)</f>
        <v>21</v>
      </c>
    </row>
  </sheetData>
  <sheetProtection algorithmName="SHA-512" hashValue="FBgGX/4SxkrDn1ya21y1jPO81UBa6rEOaIfBHPwsVFwNP4KP6HHN5mBziF2Sj3RpG23nRaAMzjIZd7J7oxYuNw==" saltValue="CS7E4DHELYP9xKUkvnlvhQ==" spinCount="100000" sheet="1" formatColumns="0" insertColumns="0" selectLockedCells="1"/>
  <mergeCells count="4">
    <mergeCell ref="C2:D2"/>
    <mergeCell ref="C3:D3"/>
    <mergeCell ref="C28:I29"/>
    <mergeCell ref="C16:I16"/>
  </mergeCells>
  <conditionalFormatting sqref="C9:C14">
    <cfRule type="expression" dxfId="76" priority="8">
      <formula>$G$5&lt;&gt;"Fourball Matchplay"</formula>
    </cfRule>
  </conditionalFormatting>
  <conditionalFormatting sqref="C16:I16">
    <cfRule type="expression" dxfId="75" priority="20">
      <formula>$G$5&lt;&gt;"Individual Medal (Scratch)"</formula>
    </cfRule>
  </conditionalFormatting>
  <conditionalFormatting sqref="C17:I17">
    <cfRule type="expression" dxfId="74" priority="7">
      <formula>$G$5=$C$34</formula>
    </cfRule>
    <cfRule type="expression" dxfId="73" priority="19">
      <formula>$G$5="Individual Medal (Scratch)"</formula>
    </cfRule>
  </conditionalFormatting>
  <conditionalFormatting sqref="C18:I29">
    <cfRule type="expression" dxfId="72" priority="3">
      <formula>$G$5=$C$34</formula>
    </cfRule>
    <cfRule type="expression" dxfId="71" priority="5">
      <formula>$G$5=$C$34</formula>
    </cfRule>
    <cfRule type="expression" dxfId="70" priority="6">
      <formula>$G$5=$C$34</formula>
    </cfRule>
    <cfRule type="expression" dxfId="69" priority="22">
      <formula>$G$5="Individual Medal (Scratch)"</formula>
    </cfRule>
  </conditionalFormatting>
  <conditionalFormatting sqref="C19:I29">
    <cfRule type="expression" dxfId="68" priority="4">
      <formula>$G$5=$C$34</formula>
    </cfRule>
  </conditionalFormatting>
  <conditionalFormatting sqref="E12:H12">
    <cfRule type="expression" dxfId="67" priority="2">
      <formula>$G$5=$C$34</formula>
    </cfRule>
  </conditionalFormatting>
  <conditionalFormatting sqref="E18:I29">
    <cfRule type="expression" priority="21">
      <formula>$G$5="Individual Medal (Scratch)"</formula>
    </cfRule>
  </conditionalFormatting>
  <conditionalFormatting sqref="F21:F22">
    <cfRule type="expression" dxfId="66" priority="16">
      <formula>$G$3=$C$46</formula>
    </cfRule>
  </conditionalFormatting>
  <conditionalFormatting sqref="H17">
    <cfRule type="expression" dxfId="65" priority="1">
      <formula>$G$5&lt;&gt;$C$34</formula>
    </cfRule>
  </conditionalFormatting>
  <conditionalFormatting sqref="H21:H22">
    <cfRule type="expression" dxfId="64" priority="15">
      <formula>$G$3=$C$46</formula>
    </cfRule>
  </conditionalFormatting>
  <dataValidations count="1">
    <dataValidation type="list" allowBlank="1" showInputMessage="1" showErrorMessage="1" sqref="G5">
      <formula1>$C$31:$C$38</formula1>
    </dataValidation>
  </dataValidations>
  <pageMargins left="0.7" right="0.7" top="0.75" bottom="0.75" header="0.3" footer="0.3"/>
  <pageSetup paperSize="9" orientation="portrait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W59"/>
  <sheetViews>
    <sheetView workbookViewId="0">
      <selection activeCell="G5" sqref="G5:H5"/>
    </sheetView>
  </sheetViews>
  <sheetFormatPr defaultRowHeight="15" x14ac:dyDescent="0.25"/>
  <cols>
    <col min="2" max="2" width="4.42578125" customWidth="1"/>
    <col min="3" max="3" width="26.28515625" customWidth="1"/>
    <col min="5" max="5" width="13" customWidth="1"/>
    <col min="6" max="6" width="9.140625" bestFit="1" customWidth="1"/>
    <col min="7" max="7" width="17.5703125" customWidth="1"/>
    <col min="8" max="8" width="9.28515625" customWidth="1"/>
    <col min="11" max="11" width="9.42578125" customWidth="1"/>
    <col min="13" max="13" width="9" hidden="1" customWidth="1"/>
    <col min="14" max="16" width="9" style="1" hidden="1" customWidth="1"/>
    <col min="17" max="23" width="9" hidden="1" customWidth="1"/>
    <col min="24" max="24" width="9" customWidth="1"/>
  </cols>
  <sheetData>
    <row r="1" spans="3:23" ht="14.65" thickBot="1" x14ac:dyDescent="0.55000000000000004"/>
    <row r="2" spans="3:23" ht="14.45" x14ac:dyDescent="0.5">
      <c r="C2" s="171" t="s">
        <v>22</v>
      </c>
      <c r="D2" s="172"/>
      <c r="E2" s="2"/>
      <c r="F2" s="2"/>
      <c r="G2" s="2"/>
      <c r="H2" s="2"/>
      <c r="I2" s="2"/>
      <c r="J2" s="2"/>
      <c r="K2" s="2"/>
      <c r="L2" s="3"/>
    </row>
    <row r="3" spans="3:23" ht="20.100000000000001" customHeight="1" x14ac:dyDescent="0.5">
      <c r="C3" s="173" t="s">
        <v>23</v>
      </c>
      <c r="D3" s="174"/>
      <c r="E3" s="5"/>
      <c r="F3" s="30"/>
      <c r="G3" s="184"/>
      <c r="H3" s="184"/>
      <c r="I3" s="5"/>
      <c r="J3" s="5"/>
      <c r="K3" s="5"/>
      <c r="L3" s="6"/>
    </row>
    <row r="4" spans="3:23" ht="14.45" x14ac:dyDescent="0.5">
      <c r="C4" s="52"/>
      <c r="D4" s="53"/>
      <c r="E4" s="5"/>
      <c r="F4" s="5"/>
      <c r="G4" s="5"/>
      <c r="H4" s="5"/>
      <c r="I4" s="5"/>
      <c r="J4" s="5"/>
      <c r="K4" s="5"/>
      <c r="L4" s="6"/>
    </row>
    <row r="5" spans="3:23" ht="20.100000000000001" customHeight="1" x14ac:dyDescent="0.5">
      <c r="C5" s="4"/>
      <c r="D5" s="5"/>
      <c r="E5" s="31" t="s">
        <v>21</v>
      </c>
      <c r="F5" s="32"/>
      <c r="G5" s="185" t="s">
        <v>5</v>
      </c>
      <c r="H5" s="186"/>
      <c r="I5" s="5"/>
      <c r="J5" s="5"/>
      <c r="K5" s="5"/>
      <c r="L5" s="6"/>
    </row>
    <row r="6" spans="3:23" ht="14.45" x14ac:dyDescent="0.5">
      <c r="C6" s="4"/>
      <c r="D6" s="5"/>
      <c r="E6" s="5"/>
      <c r="F6" s="5"/>
      <c r="G6" s="5"/>
      <c r="H6" s="5"/>
      <c r="I6" s="5"/>
      <c r="J6" s="5"/>
      <c r="K6" s="5"/>
      <c r="L6" s="6"/>
    </row>
    <row r="7" spans="3:23" ht="14.45" x14ac:dyDescent="0.5">
      <c r="C7" s="4"/>
      <c r="D7" s="5"/>
      <c r="E7" s="5"/>
      <c r="F7" s="53" t="s">
        <v>35</v>
      </c>
      <c r="G7" s="8"/>
      <c r="H7" s="53" t="s">
        <v>36</v>
      </c>
      <c r="I7" s="8"/>
      <c r="J7" s="8"/>
      <c r="K7" s="53" t="s">
        <v>37</v>
      </c>
      <c r="L7" s="6"/>
      <c r="N7" s="1" t="s">
        <v>32</v>
      </c>
      <c r="O7" s="1" t="s">
        <v>34</v>
      </c>
      <c r="P7" s="1" t="s">
        <v>16</v>
      </c>
      <c r="R7" s="85"/>
      <c r="S7" s="85" t="s">
        <v>45</v>
      </c>
      <c r="T7" s="85"/>
      <c r="U7" s="85" t="s">
        <v>46</v>
      </c>
      <c r="W7" s="85" t="s">
        <v>47</v>
      </c>
    </row>
    <row r="8" spans="3:23" ht="14.45" x14ac:dyDescent="0.5">
      <c r="C8" s="4"/>
      <c r="D8" s="5"/>
      <c r="E8" s="5"/>
      <c r="F8" s="5"/>
      <c r="G8" s="5"/>
      <c r="H8" s="5"/>
      <c r="I8" s="5"/>
      <c r="J8" s="5"/>
      <c r="K8" s="5"/>
      <c r="L8" s="6"/>
      <c r="R8" s="85"/>
      <c r="S8" s="85"/>
      <c r="T8" s="85"/>
      <c r="U8" s="85"/>
      <c r="W8" s="85"/>
    </row>
    <row r="9" spans="3:23" ht="20.100000000000001" customHeight="1" x14ac:dyDescent="0.5">
      <c r="C9" s="105" t="s">
        <v>126</v>
      </c>
      <c r="D9" s="5"/>
      <c r="E9" s="7" t="s">
        <v>11</v>
      </c>
      <c r="F9" s="45">
        <v>70.5</v>
      </c>
      <c r="G9" s="7" t="s">
        <v>11</v>
      </c>
      <c r="H9" s="45">
        <v>74.3</v>
      </c>
      <c r="I9" s="5"/>
      <c r="J9" s="7" t="s">
        <v>11</v>
      </c>
      <c r="K9" s="45">
        <v>73.2</v>
      </c>
      <c r="L9" s="6"/>
      <c r="N9" s="1">
        <f>F9</f>
        <v>70.5</v>
      </c>
      <c r="O9" s="1">
        <f>F10</f>
        <v>72</v>
      </c>
      <c r="P9" s="8">
        <f>F12</f>
        <v>-1</v>
      </c>
      <c r="Q9" s="5"/>
      <c r="R9" s="85" t="s">
        <v>16</v>
      </c>
      <c r="S9" s="95">
        <f>F9-F10</f>
        <v>-1.5</v>
      </c>
      <c r="T9" s="95"/>
      <c r="U9" s="95">
        <f>H9-H10</f>
        <v>2.2999999999999972</v>
      </c>
      <c r="W9" s="95">
        <f>K9-K10</f>
        <v>1.2000000000000028</v>
      </c>
    </row>
    <row r="10" spans="3:23" ht="20.100000000000001" customHeight="1" x14ac:dyDescent="0.5">
      <c r="C10" s="106" t="s">
        <v>127</v>
      </c>
      <c r="D10" s="5"/>
      <c r="E10" s="7" t="s">
        <v>0</v>
      </c>
      <c r="F10" s="29">
        <v>72</v>
      </c>
      <c r="G10" s="7" t="s">
        <v>0</v>
      </c>
      <c r="H10" s="29">
        <v>72</v>
      </c>
      <c r="I10" s="5"/>
      <c r="J10" s="7" t="s">
        <v>0</v>
      </c>
      <c r="K10" s="29">
        <v>72</v>
      </c>
      <c r="L10" s="6"/>
      <c r="N10" s="1">
        <f>H9</f>
        <v>74.3</v>
      </c>
      <c r="O10" s="1">
        <f>H10</f>
        <v>72</v>
      </c>
      <c r="P10" s="8">
        <f>H12</f>
        <v>2</v>
      </c>
      <c r="Q10" s="5"/>
      <c r="R10" s="85" t="s">
        <v>100</v>
      </c>
      <c r="S10" s="95">
        <f>TRUNC(S9)</f>
        <v>-1</v>
      </c>
      <c r="T10" s="85"/>
      <c r="U10" s="95">
        <f>TRUNC(U9)</f>
        <v>2</v>
      </c>
      <c r="W10" s="95">
        <f>TRUNC(W9)</f>
        <v>1</v>
      </c>
    </row>
    <row r="11" spans="3:23" ht="20.100000000000001" customHeight="1" x14ac:dyDescent="0.5">
      <c r="C11" s="106" t="s">
        <v>128</v>
      </c>
      <c r="D11" s="5"/>
      <c r="E11" s="7" t="s">
        <v>12</v>
      </c>
      <c r="F11" s="29">
        <v>134</v>
      </c>
      <c r="G11" s="7" t="s">
        <v>12</v>
      </c>
      <c r="H11" s="29">
        <v>132</v>
      </c>
      <c r="I11" s="5"/>
      <c r="J11" s="7" t="s">
        <v>12</v>
      </c>
      <c r="K11" s="29">
        <v>126</v>
      </c>
      <c r="L11" s="6"/>
      <c r="N11" s="1">
        <f>K9</f>
        <v>73.2</v>
      </c>
      <c r="O11" s="1">
        <f>K10</f>
        <v>72</v>
      </c>
      <c r="P11" s="8">
        <f>K12</f>
        <v>1</v>
      </c>
      <c r="Q11" s="5"/>
      <c r="R11" s="85" t="s">
        <v>101</v>
      </c>
      <c r="S11" s="95">
        <f>S9-S10</f>
        <v>-0.5</v>
      </c>
      <c r="T11" s="85"/>
      <c r="U11" s="95">
        <f>U9-U10</f>
        <v>0.29999999999999716</v>
      </c>
      <c r="W11" s="95">
        <f>W9-W10</f>
        <v>0.20000000000000284</v>
      </c>
    </row>
    <row r="12" spans="3:23" ht="20.100000000000001" customHeight="1" x14ac:dyDescent="0.5">
      <c r="C12" s="106" t="s">
        <v>129</v>
      </c>
      <c r="D12" s="5"/>
      <c r="E12" s="152" t="s">
        <v>16</v>
      </c>
      <c r="F12" s="153">
        <f>IF(F9&gt;0,S12,0)</f>
        <v>-1</v>
      </c>
      <c r="G12" s="152"/>
      <c r="H12" s="153">
        <f>IF(H9&gt;0,U12,0)</f>
        <v>2</v>
      </c>
      <c r="I12" s="154"/>
      <c r="J12" s="152"/>
      <c r="K12" s="153">
        <f>IF(K9&gt;0,W12,0)</f>
        <v>1</v>
      </c>
      <c r="L12" s="6"/>
      <c r="M12" s="35" t="s">
        <v>33</v>
      </c>
      <c r="N12" s="1">
        <f>MIN(N9:N11)</f>
        <v>70.5</v>
      </c>
      <c r="O12" s="1">
        <f>MIN(O9:O11)</f>
        <v>72</v>
      </c>
      <c r="P12" s="8">
        <f>MAX(P9:P11)</f>
        <v>2</v>
      </c>
      <c r="Q12" s="5" t="s">
        <v>90</v>
      </c>
      <c r="R12" s="85" t="s">
        <v>102</v>
      </c>
      <c r="S12" s="151">
        <f>IF(S9&lt;0,IF(S11&lt;-0.5,S10-1,S10),ROUND(S9,0))</f>
        <v>-1</v>
      </c>
      <c r="T12" s="151"/>
      <c r="U12" s="151">
        <f>IF(U9&lt;0,IF(U11&lt;-0.5,U10-1,U10),ROUND(U9,0))</f>
        <v>2</v>
      </c>
      <c r="V12" s="5"/>
      <c r="W12" s="151">
        <f>IF(W9&lt;0,IF(W11&lt;-0.5,W10-1,W10),ROUND(W9,0))</f>
        <v>1</v>
      </c>
    </row>
    <row r="13" spans="3:23" ht="20.100000000000001" customHeight="1" x14ac:dyDescent="0.5">
      <c r="C13" s="106" t="s">
        <v>130</v>
      </c>
      <c r="D13" s="5"/>
      <c r="E13" s="5"/>
      <c r="F13" s="5"/>
      <c r="G13" s="5"/>
      <c r="H13" s="5"/>
      <c r="I13" s="5"/>
      <c r="J13" s="5"/>
      <c r="K13" s="5"/>
      <c r="L13" s="6"/>
      <c r="P13" s="8">
        <f>MIN(P9:P11)</f>
        <v>-1</v>
      </c>
      <c r="Q13" s="5" t="s">
        <v>33</v>
      </c>
    </row>
    <row r="14" spans="3:23" ht="20.100000000000001" customHeight="1" x14ac:dyDescent="0.55000000000000004">
      <c r="C14" s="106" t="s">
        <v>131</v>
      </c>
      <c r="D14" s="5"/>
      <c r="E14" s="27" t="s">
        <v>13</v>
      </c>
      <c r="F14" s="28">
        <f>D41</f>
        <v>0</v>
      </c>
      <c r="G14" s="26"/>
      <c r="H14" s="28">
        <f>E41</f>
        <v>0</v>
      </c>
      <c r="I14" s="5"/>
      <c r="J14" s="5"/>
      <c r="K14" s="28">
        <f>F41</f>
        <v>0</v>
      </c>
      <c r="L14" s="6"/>
    </row>
    <row r="15" spans="3:23" ht="14.45" x14ac:dyDescent="0.5">
      <c r="C15" s="4"/>
      <c r="D15" s="5"/>
      <c r="E15" s="7"/>
      <c r="F15" s="8"/>
      <c r="G15" s="5"/>
      <c r="H15" s="8"/>
      <c r="I15" s="5"/>
      <c r="J15" s="5"/>
      <c r="K15" s="5"/>
      <c r="L15" s="6"/>
    </row>
    <row r="16" spans="3:23" ht="14.45" x14ac:dyDescent="0.5">
      <c r="C16" s="4"/>
      <c r="D16" s="5"/>
      <c r="E16" s="182" t="s">
        <v>58</v>
      </c>
      <c r="F16" s="182"/>
      <c r="G16" s="182"/>
      <c r="H16" s="182"/>
      <c r="I16" s="182"/>
      <c r="J16" s="182"/>
      <c r="K16" s="182"/>
      <c r="L16" s="6"/>
    </row>
    <row r="17" spans="1:14" ht="14.45" x14ac:dyDescent="0.5">
      <c r="C17" s="4"/>
      <c r="D17" s="5"/>
      <c r="E17" s="5"/>
      <c r="F17" s="5"/>
      <c r="G17" s="5"/>
      <c r="H17" s="5"/>
      <c r="I17" s="5"/>
      <c r="J17" s="5"/>
      <c r="K17" s="7" t="s">
        <v>164</v>
      </c>
      <c r="L17" s="6"/>
    </row>
    <row r="18" spans="1:14" ht="14.45" x14ac:dyDescent="0.5">
      <c r="C18" s="4"/>
      <c r="D18" s="56" t="s">
        <v>17</v>
      </c>
      <c r="E18" s="5"/>
      <c r="F18" s="5"/>
      <c r="G18" s="5"/>
      <c r="H18" s="5"/>
      <c r="I18" s="5"/>
      <c r="J18" s="5"/>
      <c r="K18" s="5"/>
      <c r="L18" s="6"/>
      <c r="N18" s="1" t="s">
        <v>31</v>
      </c>
    </row>
    <row r="19" spans="1:14" ht="14.45" x14ac:dyDescent="0.5">
      <c r="C19" s="4"/>
      <c r="D19" s="9" t="s">
        <v>3</v>
      </c>
      <c r="E19" s="5"/>
      <c r="F19" s="20">
        <v>3</v>
      </c>
      <c r="G19" s="5"/>
      <c r="H19" s="20">
        <v>9</v>
      </c>
      <c r="I19" s="5"/>
      <c r="J19" s="5"/>
      <c r="K19" s="20">
        <v>14.5</v>
      </c>
      <c r="L19" s="6"/>
    </row>
    <row r="20" spans="1:14" ht="3.4" customHeight="1" x14ac:dyDescent="0.5">
      <c r="C20" s="4"/>
      <c r="D20" s="7"/>
      <c r="E20" s="5"/>
      <c r="F20" s="44"/>
      <c r="G20" s="5"/>
      <c r="H20" s="44"/>
      <c r="I20" s="5"/>
      <c r="J20" s="5"/>
      <c r="K20" s="44"/>
      <c r="L20" s="6"/>
    </row>
    <row r="21" spans="1:14" ht="14.45" x14ac:dyDescent="0.5">
      <c r="C21" s="4"/>
      <c r="D21" s="9" t="s">
        <v>18</v>
      </c>
      <c r="E21" s="41"/>
      <c r="F21" s="123">
        <f>F52</f>
        <v>2.0575221238938055</v>
      </c>
      <c r="G21" s="46"/>
      <c r="H21" s="123">
        <f>H52</f>
        <v>12.813274336283182</v>
      </c>
      <c r="I21" s="46"/>
      <c r="J21" s="46"/>
      <c r="K21" s="123">
        <f>K52</f>
        <v>17.368141592920356</v>
      </c>
      <c r="L21" s="6"/>
    </row>
    <row r="22" spans="1:14" ht="14.45" x14ac:dyDescent="0.5">
      <c r="C22" s="4"/>
      <c r="D22" s="7" t="s">
        <v>4</v>
      </c>
      <c r="E22" s="43">
        <f>G41</f>
        <v>0.95</v>
      </c>
      <c r="F22" s="122">
        <f>F21*G41</f>
        <v>1.9546460176991152</v>
      </c>
      <c r="G22" s="41"/>
      <c r="H22" s="122">
        <f>H21*G41</f>
        <v>12.172610619469022</v>
      </c>
      <c r="I22" s="41"/>
      <c r="J22" s="41"/>
      <c r="K22" s="122">
        <f>K21*G41</f>
        <v>16.499734513274337</v>
      </c>
      <c r="L22" s="6"/>
    </row>
    <row r="23" spans="1:14" ht="14.45" x14ac:dyDescent="0.5">
      <c r="C23" s="4"/>
      <c r="D23" s="9" t="s">
        <v>13</v>
      </c>
      <c r="E23" s="41"/>
      <c r="F23" s="54">
        <f>F14</f>
        <v>0</v>
      </c>
      <c r="G23" s="42"/>
      <c r="H23" s="54">
        <f>H14</f>
        <v>0</v>
      </c>
      <c r="I23" s="41"/>
      <c r="J23" s="41"/>
      <c r="K23" s="54">
        <f>K14</f>
        <v>0</v>
      </c>
      <c r="L23" s="6"/>
    </row>
    <row r="24" spans="1:14" ht="14.45" x14ac:dyDescent="0.5">
      <c r="C24" s="4"/>
      <c r="D24" s="7"/>
      <c r="E24" s="5"/>
      <c r="F24" s="8"/>
      <c r="G24" s="8"/>
      <c r="H24" s="8"/>
      <c r="I24" s="5"/>
      <c r="J24" s="5"/>
      <c r="K24" s="8"/>
      <c r="L24" s="6"/>
    </row>
    <row r="25" spans="1:14" ht="18" x14ac:dyDescent="0.6">
      <c r="C25" s="4"/>
      <c r="D25" s="24" t="s">
        <v>19</v>
      </c>
      <c r="E25" s="25"/>
      <c r="F25" s="17">
        <f>F59</f>
        <v>2</v>
      </c>
      <c r="G25" s="26"/>
      <c r="H25" s="17">
        <f>H59</f>
        <v>12</v>
      </c>
      <c r="I25" s="5"/>
      <c r="J25" s="5"/>
      <c r="K25" s="17">
        <f>K59</f>
        <v>16</v>
      </c>
      <c r="L25" s="6"/>
    </row>
    <row r="26" spans="1:14" ht="14.45" x14ac:dyDescent="0.5">
      <c r="C26" s="4"/>
      <c r="D26" s="5"/>
      <c r="E26" s="5"/>
      <c r="F26" s="5"/>
      <c r="G26" s="5"/>
      <c r="H26" s="5"/>
      <c r="I26" s="5"/>
      <c r="J26" s="5"/>
      <c r="K26" s="5"/>
      <c r="L26" s="6"/>
    </row>
    <row r="27" spans="1:14" ht="14.45" x14ac:dyDescent="0.5">
      <c r="C27" s="4"/>
      <c r="D27" s="5"/>
      <c r="E27" s="5"/>
      <c r="F27" s="5"/>
      <c r="G27" s="5"/>
      <c r="H27" s="5"/>
      <c r="I27" s="5"/>
      <c r="J27" s="5"/>
      <c r="K27" s="5"/>
      <c r="L27" s="6"/>
    </row>
    <row r="28" spans="1:14" ht="14.25" customHeight="1" x14ac:dyDescent="0.25">
      <c r="C28" s="187" t="s">
        <v>95</v>
      </c>
      <c r="D28" s="188"/>
      <c r="E28" s="188"/>
      <c r="F28" s="188"/>
      <c r="G28" s="188"/>
      <c r="H28" s="188"/>
      <c r="I28" s="188"/>
      <c r="J28" s="188"/>
      <c r="K28" s="188"/>
      <c r="L28" s="189"/>
    </row>
    <row r="29" spans="1:14" ht="15.75" thickBot="1" x14ac:dyDescent="0.3">
      <c r="C29" s="190"/>
      <c r="D29" s="191"/>
      <c r="E29" s="191"/>
      <c r="F29" s="191"/>
      <c r="G29" s="191"/>
      <c r="H29" s="191"/>
      <c r="I29" s="191"/>
      <c r="J29" s="191"/>
      <c r="K29" s="191"/>
      <c r="L29" s="192"/>
    </row>
    <row r="30" spans="1:14" ht="14.45" hidden="1" x14ac:dyDescent="0.5">
      <c r="D30" t="s">
        <v>14</v>
      </c>
      <c r="E30" t="s">
        <v>30</v>
      </c>
      <c r="F30" t="s">
        <v>15</v>
      </c>
      <c r="G30" t="s">
        <v>4</v>
      </c>
    </row>
    <row r="31" spans="1:14" ht="14.45" hidden="1" x14ac:dyDescent="0.5">
      <c r="A31">
        <v>1</v>
      </c>
      <c r="C31" t="s">
        <v>5</v>
      </c>
      <c r="D31" s="1">
        <f>IF($F$10&gt;$O$12,$F$10-$O$12,0)</f>
        <v>0</v>
      </c>
      <c r="E31" s="1">
        <f>IF($H$10&gt;$O$12,$H$10-$O$12,0)</f>
        <v>0</v>
      </c>
      <c r="F31" s="36">
        <f>IF($K$10&gt;$O$12,$K$10-$O$12,0)</f>
        <v>0</v>
      </c>
      <c r="G31">
        <v>0.95</v>
      </c>
    </row>
    <row r="32" spans="1:14" ht="14.45" hidden="1" x14ac:dyDescent="0.5">
      <c r="A32">
        <v>2</v>
      </c>
      <c r="C32" t="s">
        <v>24</v>
      </c>
      <c r="D32" s="1">
        <f>ROUND(IF($F$9&gt;$N$12,$F$9-$N$12,0),0)</f>
        <v>0</v>
      </c>
      <c r="E32" s="1">
        <f>ROUND(IF($H$9&gt;$N$12,$H$9-$N$12,0),0)</f>
        <v>4</v>
      </c>
      <c r="F32" s="36">
        <f>ROUND(IF($K$9&gt;$N$12,$K$9-$N$12,0),0)</f>
        <v>3</v>
      </c>
      <c r="G32">
        <v>1</v>
      </c>
    </row>
    <row r="33" spans="1:11" ht="14.45" hidden="1" x14ac:dyDescent="0.5">
      <c r="A33">
        <v>3</v>
      </c>
      <c r="C33" t="s">
        <v>6</v>
      </c>
      <c r="D33" s="1">
        <v>0</v>
      </c>
      <c r="E33" s="1">
        <v>0</v>
      </c>
      <c r="F33" s="1">
        <v>0</v>
      </c>
      <c r="G33">
        <v>0.95</v>
      </c>
    </row>
    <row r="34" spans="1:11" ht="14.45" hidden="1" x14ac:dyDescent="0.5">
      <c r="A34">
        <v>4</v>
      </c>
      <c r="C34" t="s">
        <v>162</v>
      </c>
      <c r="D34" s="1">
        <f>S12-P13</f>
        <v>0</v>
      </c>
      <c r="E34" s="1">
        <f>U12-P13</f>
        <v>3</v>
      </c>
      <c r="F34" s="1">
        <f>W12-P13</f>
        <v>2</v>
      </c>
      <c r="G34">
        <v>1</v>
      </c>
    </row>
    <row r="35" spans="1:11" ht="14.45" hidden="1" x14ac:dyDescent="0.5">
      <c r="A35">
        <v>4</v>
      </c>
      <c r="C35" t="s">
        <v>7</v>
      </c>
      <c r="D35" s="1">
        <f>IF($F$10&gt;$O$12,$F$10-$O$12,0)</f>
        <v>0</v>
      </c>
      <c r="E35" s="1">
        <f>IF($H$10&gt;$O$12,$H$10-$O$12,0)</f>
        <v>0</v>
      </c>
      <c r="F35" s="36">
        <f>IF($K$10&gt;$O$12,$K$10-$O$12,0)</f>
        <v>0</v>
      </c>
      <c r="G35">
        <v>1</v>
      </c>
    </row>
    <row r="36" spans="1:11" ht="14.45" hidden="1" x14ac:dyDescent="0.5">
      <c r="A36">
        <v>5</v>
      </c>
      <c r="C36" t="s">
        <v>8</v>
      </c>
      <c r="D36" s="1">
        <f>IF($F$10&gt;$O$12,$F$10-$O$12,0)</f>
        <v>0</v>
      </c>
      <c r="E36" s="1">
        <f>IF($H$10&gt;$O$12,$H$10-$O$12,0)</f>
        <v>0</v>
      </c>
      <c r="F36" s="36">
        <f>IF($K$10&gt;$O$12,$K$10-$O$12,0)</f>
        <v>0</v>
      </c>
      <c r="G36">
        <v>0.85</v>
      </c>
    </row>
    <row r="37" spans="1:11" ht="14.45" hidden="1" x14ac:dyDescent="0.5">
      <c r="A37">
        <v>6</v>
      </c>
      <c r="C37" t="s">
        <v>9</v>
      </c>
      <c r="D37" s="1">
        <v>0</v>
      </c>
      <c r="E37" s="1">
        <v>0</v>
      </c>
      <c r="F37" s="1">
        <v>0</v>
      </c>
      <c r="G37">
        <v>0.85</v>
      </c>
    </row>
    <row r="38" spans="1:11" ht="14.45" hidden="1" x14ac:dyDescent="0.5">
      <c r="A38">
        <v>7</v>
      </c>
      <c r="C38" t="s">
        <v>20</v>
      </c>
      <c r="D38" s="1">
        <v>0</v>
      </c>
      <c r="E38" s="1">
        <v>0</v>
      </c>
      <c r="F38" s="1">
        <v>0</v>
      </c>
      <c r="G38">
        <v>0.9</v>
      </c>
    </row>
    <row r="39" spans="1:11" ht="14.45" hidden="1" x14ac:dyDescent="0.5">
      <c r="A39">
        <v>8</v>
      </c>
      <c r="C39" t="s">
        <v>10</v>
      </c>
      <c r="D39" s="1">
        <f>IF($F$10&gt;$O$12,$F$10-$O$12,0)</f>
        <v>0</v>
      </c>
      <c r="E39" s="1">
        <f>IF($H$10&gt;$O$12,$H$10-$O$12,0)</f>
        <v>0</v>
      </c>
      <c r="F39" s="36">
        <f>IF($K$10&gt;$O$12,$K$10-$O$12,0)</f>
        <v>0</v>
      </c>
      <c r="G39">
        <v>1</v>
      </c>
    </row>
    <row r="40" spans="1:11" ht="14.45" hidden="1" x14ac:dyDescent="0.5"/>
    <row r="41" spans="1:11" ht="14.45" hidden="1" x14ac:dyDescent="0.5">
      <c r="D41" s="1">
        <f>VLOOKUP(G5,C31:D39,2,FALSE)</f>
        <v>0</v>
      </c>
      <c r="E41" s="1">
        <f>VLOOKUP(G5,C31:E39,3,FALSE)</f>
        <v>0</v>
      </c>
      <c r="F41" s="1">
        <f>VLOOKUP(G5,C31:F39,4,FALSE)</f>
        <v>0</v>
      </c>
      <c r="G41">
        <f>VLOOKUP(G5,C31:G39,5,FALSE)</f>
        <v>0.95</v>
      </c>
    </row>
    <row r="42" spans="1:11" ht="14.45" hidden="1" x14ac:dyDescent="0.5"/>
    <row r="43" spans="1:11" ht="14.45" hidden="1" x14ac:dyDescent="0.5">
      <c r="C43" t="s">
        <v>26</v>
      </c>
    </row>
    <row r="44" spans="1:11" ht="14.45" hidden="1" x14ac:dyDescent="0.5">
      <c r="C44" t="s">
        <v>27</v>
      </c>
    </row>
    <row r="45" spans="1:11" ht="14.45" hidden="1" x14ac:dyDescent="0.5">
      <c r="C45" t="s">
        <v>28</v>
      </c>
    </row>
    <row r="46" spans="1:11" ht="14.45" hidden="1" x14ac:dyDescent="0.5">
      <c r="C46" t="s">
        <v>29</v>
      </c>
      <c r="F46" t="s">
        <v>72</v>
      </c>
      <c r="H46" t="s">
        <v>72</v>
      </c>
      <c r="K46" t="s">
        <v>72</v>
      </c>
    </row>
    <row r="47" spans="1:11" ht="14.45" hidden="1" x14ac:dyDescent="0.5"/>
    <row r="48" spans="1:11" ht="14.45" hidden="1" x14ac:dyDescent="0.5">
      <c r="D48" t="s">
        <v>73</v>
      </c>
      <c r="E48" s="97" t="s">
        <v>118</v>
      </c>
      <c r="F48" s="120">
        <f>(F19*F11/113)+(F9-F10)</f>
        <v>2.0575221238938055</v>
      </c>
      <c r="H48" s="120">
        <f>(H19*H11/113)+(H9-H10)</f>
        <v>12.813274336283182</v>
      </c>
      <c r="K48" s="120">
        <f>(K19*K11/113)+(K9-K10)</f>
        <v>17.368141592920356</v>
      </c>
    </row>
    <row r="49" spans="6:11" ht="14.45" hidden="1" x14ac:dyDescent="0.5">
      <c r="F49" s="120">
        <f>IF(F48&lt;0,F48*-1,F48)</f>
        <v>2.0575221238938055</v>
      </c>
      <c r="H49" s="120">
        <f>IF(H48&lt;0,H48*-1,H48)</f>
        <v>12.813274336283182</v>
      </c>
      <c r="K49" s="120">
        <f>IF(K48&lt;0,K48*-1,K48)</f>
        <v>17.368141592920356</v>
      </c>
    </row>
    <row r="50" spans="6:11" ht="14.45" hidden="1" x14ac:dyDescent="0.5">
      <c r="F50" s="120">
        <f>IF(F49-INT(F49)=0.5,IF(F48&lt;0,F48+0.001,F48),F48)</f>
        <v>2.0575221238938055</v>
      </c>
      <c r="H50" s="120">
        <f>IF(H49-INT(H49)=0.5,IF(H48&lt;0,H48+0.001,H48),H48)</f>
        <v>12.813274336283182</v>
      </c>
      <c r="K50" s="120">
        <f>IF(K49-INT(K49)=0.5,IF(K48&lt;0,K48+0.001,K48),K48)</f>
        <v>17.368141592920356</v>
      </c>
    </row>
    <row r="51" spans="6:11" ht="14.45" hidden="1" x14ac:dyDescent="0.5">
      <c r="F51">
        <f>ROUND(F50,0)</f>
        <v>2</v>
      </c>
      <c r="H51">
        <f>ROUND(H50,0)</f>
        <v>13</v>
      </c>
      <c r="K51">
        <f>ROUND(K50,0)</f>
        <v>17</v>
      </c>
    </row>
    <row r="52" spans="6:11" ht="14.45" hidden="1" x14ac:dyDescent="0.5">
      <c r="F52" s="120">
        <f>F48</f>
        <v>2.0575221238938055</v>
      </c>
      <c r="H52" s="120">
        <f>H48</f>
        <v>12.813274336283182</v>
      </c>
      <c r="K52" s="120">
        <f>K48</f>
        <v>17.368141592920356</v>
      </c>
    </row>
    <row r="53" spans="6:11" ht="14.45" hidden="1" x14ac:dyDescent="0.5"/>
    <row r="54" spans="6:11" ht="14.45" hidden="1" x14ac:dyDescent="0.5">
      <c r="F54" t="s">
        <v>19</v>
      </c>
      <c r="H54" t="s">
        <v>19</v>
      </c>
      <c r="K54" t="s">
        <v>19</v>
      </c>
    </row>
    <row r="55" spans="6:11" ht="14.45" hidden="1" x14ac:dyDescent="0.5"/>
    <row r="56" spans="6:11" ht="14.45" hidden="1" x14ac:dyDescent="0.5">
      <c r="F56" s="120">
        <f>F22+F23</f>
        <v>1.9546460176991152</v>
      </c>
      <c r="H56" s="120">
        <f>H22+H23</f>
        <v>12.172610619469022</v>
      </c>
      <c r="K56" s="120">
        <f>K22+K23</f>
        <v>16.499734513274337</v>
      </c>
    </row>
    <row r="57" spans="6:11" ht="14.45" hidden="1" x14ac:dyDescent="0.5">
      <c r="F57" s="120">
        <f>IF(F56&lt;0,ROUND(F56*-1,3),ROUND(F56,3))</f>
        <v>1.9550000000000001</v>
      </c>
      <c r="H57" s="120">
        <f>IF(H56&lt;0,ROUND(H56*-1,3),ROUND(H56,3))</f>
        <v>12.173</v>
      </c>
      <c r="K57" s="120">
        <f>IF(K56&lt;0,ROUND(K56*-1,3),ROUND(K56,3))</f>
        <v>16.5</v>
      </c>
    </row>
    <row r="58" spans="6:11" ht="14.45" hidden="1" x14ac:dyDescent="0.5">
      <c r="F58" s="120">
        <f>IF(F57-INT(F57)=0.5,IF(F56&lt;0,F56+0.001,F56),F56)</f>
        <v>1.9546460176991152</v>
      </c>
      <c r="H58" s="120">
        <f>IF(H57-INT(H57)=0.5,IF(H56&lt;0,H56+0.001,H56),H56)</f>
        <v>12.172610619469022</v>
      </c>
      <c r="K58" s="120">
        <f>IF(K57-INT(K57)=0.5,IF(K56&lt;0,K56+0.001,K56),K56)</f>
        <v>16.499734513274337</v>
      </c>
    </row>
    <row r="59" spans="6:11" ht="14.45" hidden="1" x14ac:dyDescent="0.5">
      <c r="F59">
        <f>ROUND(F58,0)</f>
        <v>2</v>
      </c>
      <c r="H59">
        <f>ROUND(H58,0)</f>
        <v>12</v>
      </c>
      <c r="K59">
        <f>ROUND(K58,0)</f>
        <v>16</v>
      </c>
    </row>
  </sheetData>
  <sheetProtection algorithmName="SHA-512" hashValue="0ZUIQE5Hdztzb9mvtZqrKUAnORaVJ5tkpdv7e2Yhv7YAd4tAKjjPwo4mFx/8raoxXKA+8HsRgwp7KF4qV8u7zg==" saltValue="Py0UEvHiBpXh3PScerLroQ==" spinCount="100000" sheet="1" selectLockedCells="1"/>
  <mergeCells count="6">
    <mergeCell ref="G3:H3"/>
    <mergeCell ref="C2:D2"/>
    <mergeCell ref="C3:D3"/>
    <mergeCell ref="G5:H5"/>
    <mergeCell ref="C28:L29"/>
    <mergeCell ref="E16:K16"/>
  </mergeCells>
  <conditionalFormatting sqref="C9:C14">
    <cfRule type="expression" dxfId="63" priority="12">
      <formula>$G$5&lt;&gt;"Fourball Matchplay"</formula>
    </cfRule>
  </conditionalFormatting>
  <conditionalFormatting sqref="C17:J17 L17 C18:L29">
    <cfRule type="expression" dxfId="62" priority="28">
      <formula>$G$5="Individual Medal (Scratch)"</formula>
    </cfRule>
    <cfRule type="expression" dxfId="61" priority="29">
      <formula>$G$5="Individual Medal (Scratch)"</formula>
    </cfRule>
  </conditionalFormatting>
  <conditionalFormatting sqref="C16:L16">
    <cfRule type="expression" dxfId="60" priority="26">
      <formula>$G$5="Individual Medal (Scratch)"</formula>
    </cfRule>
  </conditionalFormatting>
  <conditionalFormatting sqref="C17:L17">
    <cfRule type="expression" dxfId="59" priority="5">
      <formula>$G$5=$C$34</formula>
    </cfRule>
  </conditionalFormatting>
  <conditionalFormatting sqref="C18:L29">
    <cfRule type="expression" dxfId="58" priority="8">
      <formula>$G$5=$C$34</formula>
    </cfRule>
  </conditionalFormatting>
  <conditionalFormatting sqref="E12:K12">
    <cfRule type="expression" dxfId="57" priority="2">
      <formula>$G$5&lt;&gt;$C$34</formula>
    </cfRule>
  </conditionalFormatting>
  <conditionalFormatting sqref="E16:K16">
    <cfRule type="expression" dxfId="56" priority="27">
      <formula>$G$5&lt;&gt;"Individual Medal (Scratch)"</formula>
    </cfRule>
  </conditionalFormatting>
  <conditionalFormatting sqref="F21:F22">
    <cfRule type="expression" dxfId="55" priority="22">
      <formula>$G$3=$C$46</formula>
    </cfRule>
  </conditionalFormatting>
  <conditionalFormatting sqref="H21:H22">
    <cfRule type="expression" dxfId="54" priority="11">
      <formula>$G$3=$C$46</formula>
    </cfRule>
  </conditionalFormatting>
  <conditionalFormatting sqref="K17">
    <cfRule type="expression" dxfId="53" priority="1">
      <formula>$G$5=$C$32</formula>
    </cfRule>
    <cfRule type="expression" dxfId="52" priority="3">
      <formula>$G$5&lt;&gt;$C$34</formula>
    </cfRule>
    <cfRule type="expression" dxfId="51" priority="6">
      <formula>$G$5="Individual Medal (Scratch)"</formula>
    </cfRule>
  </conditionalFormatting>
  <conditionalFormatting sqref="K21:K22">
    <cfRule type="expression" dxfId="50" priority="9">
      <formula>$G$3=$C$46</formula>
    </cfRule>
  </conditionalFormatting>
  <dataValidations count="1">
    <dataValidation type="list" allowBlank="1" showInputMessage="1" showErrorMessage="1" sqref="G5:H5">
      <formula1>$C$31:$C$38</formula1>
    </dataValidation>
  </dataValidations>
  <pageMargins left="0.7" right="0.7" top="0.75" bottom="0.75" header="0.3" footer="0.3"/>
  <pageSetup paperSize="9" orientation="portrait" horizontalDpi="360" verticalDpi="36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P57"/>
  <sheetViews>
    <sheetView topLeftCell="A5" workbookViewId="0">
      <selection activeCell="G5" sqref="G5"/>
    </sheetView>
  </sheetViews>
  <sheetFormatPr defaultRowHeight="15" x14ac:dyDescent="0.25"/>
  <cols>
    <col min="2" max="2" width="4.42578125" customWidth="1"/>
    <col min="3" max="3" width="26" customWidth="1"/>
    <col min="5" max="5" width="13" customWidth="1"/>
    <col min="7" max="7" width="24.28515625" customWidth="1"/>
    <col min="8" max="8" width="9.140625" bestFit="1" customWidth="1"/>
  </cols>
  <sheetData>
    <row r="1" spans="3:16" ht="14.65" thickBot="1" x14ac:dyDescent="0.55000000000000004"/>
    <row r="2" spans="3:16" ht="14.45" x14ac:dyDescent="0.5">
      <c r="C2" s="171" t="s">
        <v>22</v>
      </c>
      <c r="D2" s="172"/>
      <c r="E2" s="2"/>
      <c r="F2" s="2"/>
      <c r="G2" s="2"/>
      <c r="H2" s="2"/>
      <c r="I2" s="3"/>
    </row>
    <row r="3" spans="3:16" ht="22.15" customHeight="1" x14ac:dyDescent="0.5">
      <c r="C3" s="173" t="s">
        <v>23</v>
      </c>
      <c r="D3" s="174"/>
      <c r="E3" s="5"/>
      <c r="F3" s="30"/>
      <c r="G3" s="71"/>
      <c r="H3" s="71"/>
      <c r="I3" s="6"/>
      <c r="N3" s="1"/>
      <c r="O3" s="1"/>
      <c r="P3" s="1"/>
    </row>
    <row r="4" spans="3:16" ht="20.100000000000001" customHeight="1" x14ac:dyDescent="0.7">
      <c r="C4" s="193" t="s">
        <v>25</v>
      </c>
      <c r="D4" s="194"/>
      <c r="E4" s="5"/>
      <c r="F4" s="30"/>
      <c r="G4" s="184"/>
      <c r="H4" s="184"/>
      <c r="I4" s="6"/>
      <c r="N4" s="1"/>
      <c r="O4" s="1"/>
      <c r="P4" s="1"/>
    </row>
    <row r="5" spans="3:16" ht="22.15" customHeight="1" x14ac:dyDescent="0.5">
      <c r="C5" s="173"/>
      <c r="D5" s="174"/>
      <c r="E5" s="37" t="s">
        <v>21</v>
      </c>
      <c r="F5" s="38"/>
      <c r="G5" s="39" t="s">
        <v>6</v>
      </c>
      <c r="H5" s="5"/>
      <c r="I5" s="6"/>
    </row>
    <row r="6" spans="3:16" ht="14.45" x14ac:dyDescent="0.5">
      <c r="C6" s="4"/>
      <c r="D6" s="5"/>
      <c r="E6" s="5"/>
      <c r="F6" s="5"/>
      <c r="G6" s="5"/>
      <c r="H6" s="5"/>
      <c r="I6" s="6"/>
    </row>
    <row r="7" spans="3:16" ht="14.45" x14ac:dyDescent="0.5">
      <c r="C7" s="4"/>
      <c r="D7" s="5"/>
      <c r="E7" s="5"/>
      <c r="F7" s="18" t="s">
        <v>2</v>
      </c>
      <c r="G7" s="5"/>
      <c r="H7" s="18" t="s">
        <v>1</v>
      </c>
      <c r="I7" s="6"/>
    </row>
    <row r="8" spans="3:16" ht="14.45" x14ac:dyDescent="0.5">
      <c r="C8" s="4"/>
      <c r="D8" s="5"/>
      <c r="E8" s="5"/>
      <c r="F8" s="5"/>
      <c r="G8" s="5"/>
      <c r="H8" s="5"/>
      <c r="I8" s="6"/>
    </row>
    <row r="9" spans="3:16" ht="20.100000000000001" customHeight="1" x14ac:dyDescent="0.5">
      <c r="C9" s="105" t="s">
        <v>126</v>
      </c>
      <c r="D9" s="5"/>
      <c r="E9" s="40" t="s">
        <v>11</v>
      </c>
      <c r="F9" s="45">
        <v>35</v>
      </c>
      <c r="G9" s="40" t="s">
        <v>11</v>
      </c>
      <c r="H9" s="45">
        <v>36.299999999999997</v>
      </c>
      <c r="I9" s="6"/>
    </row>
    <row r="10" spans="3:16" ht="20.100000000000001" customHeight="1" x14ac:dyDescent="0.5">
      <c r="C10" s="106" t="s">
        <v>127</v>
      </c>
      <c r="D10" s="5"/>
      <c r="E10" s="40" t="s">
        <v>0</v>
      </c>
      <c r="F10" s="29">
        <v>35</v>
      </c>
      <c r="G10" s="40" t="s">
        <v>0</v>
      </c>
      <c r="H10" s="29">
        <v>37</v>
      </c>
      <c r="I10" s="6"/>
    </row>
    <row r="11" spans="3:16" ht="20.100000000000001" customHeight="1" x14ac:dyDescent="0.5">
      <c r="C11" s="106" t="s">
        <v>128</v>
      </c>
      <c r="D11" s="5"/>
      <c r="E11" s="40" t="s">
        <v>12</v>
      </c>
      <c r="F11" s="29">
        <v>123</v>
      </c>
      <c r="G11" s="40" t="s">
        <v>12</v>
      </c>
      <c r="H11" s="29">
        <v>136</v>
      </c>
      <c r="I11" s="6"/>
    </row>
    <row r="12" spans="3:16" ht="20.100000000000001" customHeight="1" x14ac:dyDescent="0.5">
      <c r="C12" s="106" t="s">
        <v>129</v>
      </c>
      <c r="D12" s="5"/>
      <c r="E12" s="10" t="s">
        <v>16</v>
      </c>
      <c r="F12" s="34">
        <f>F9-F10</f>
        <v>0</v>
      </c>
      <c r="G12" s="10" t="s">
        <v>16</v>
      </c>
      <c r="H12" s="34">
        <f>H9-H10</f>
        <v>-0.70000000000000284</v>
      </c>
      <c r="I12" s="6"/>
      <c r="J12" s="23"/>
    </row>
    <row r="13" spans="3:16" ht="20.100000000000001" customHeight="1" x14ac:dyDescent="0.5">
      <c r="C13" s="106" t="s">
        <v>130</v>
      </c>
      <c r="D13" s="5"/>
      <c r="E13" s="5"/>
      <c r="F13" s="5"/>
      <c r="G13" s="5"/>
      <c r="H13" s="5"/>
      <c r="I13" s="6"/>
    </row>
    <row r="14" spans="3:16" ht="20.100000000000001" customHeight="1" x14ac:dyDescent="0.6">
      <c r="C14" s="106" t="s">
        <v>131</v>
      </c>
      <c r="D14" s="5"/>
      <c r="E14" s="12" t="s">
        <v>13</v>
      </c>
      <c r="F14" s="17">
        <f>D40</f>
        <v>0</v>
      </c>
      <c r="G14" s="13"/>
      <c r="H14" s="17">
        <f>E40</f>
        <v>0</v>
      </c>
      <c r="I14" s="6"/>
    </row>
    <row r="15" spans="3:16" ht="14.45" x14ac:dyDescent="0.5">
      <c r="C15" s="4"/>
      <c r="D15" s="5"/>
      <c r="E15" s="7"/>
      <c r="F15" s="8"/>
      <c r="G15" s="5"/>
      <c r="H15" s="8"/>
      <c r="I15" s="6"/>
    </row>
    <row r="16" spans="3:16" ht="14.45" x14ac:dyDescent="0.5">
      <c r="C16" s="195" t="s">
        <v>58</v>
      </c>
      <c r="D16" s="196"/>
      <c r="E16" s="196"/>
      <c r="F16" s="196"/>
      <c r="G16" s="196"/>
      <c r="H16" s="196"/>
      <c r="I16" s="197"/>
    </row>
    <row r="17" spans="1:11" ht="14.45" x14ac:dyDescent="0.5">
      <c r="C17" s="4"/>
      <c r="D17" s="5"/>
      <c r="E17" s="5"/>
      <c r="F17" s="5"/>
      <c r="G17" s="5"/>
      <c r="H17" s="5"/>
      <c r="I17" s="6"/>
    </row>
    <row r="18" spans="1:11" ht="14.45" x14ac:dyDescent="0.5">
      <c r="C18" s="4"/>
      <c r="D18" s="56" t="s">
        <v>17</v>
      </c>
      <c r="E18" s="5"/>
      <c r="F18" s="5"/>
      <c r="G18" s="5"/>
      <c r="H18" s="5"/>
      <c r="I18" s="6"/>
    </row>
    <row r="19" spans="1:11" ht="14.45" x14ac:dyDescent="0.5">
      <c r="C19" s="4"/>
      <c r="D19" s="9" t="s">
        <v>3</v>
      </c>
      <c r="E19" s="5"/>
      <c r="F19" s="55">
        <v>6.5</v>
      </c>
      <c r="G19" s="5"/>
      <c r="H19" s="20">
        <v>20.399999999999999</v>
      </c>
      <c r="I19" s="6"/>
    </row>
    <row r="20" spans="1:11" ht="5.65" customHeight="1" x14ac:dyDescent="0.5">
      <c r="C20" s="4"/>
      <c r="D20" s="7"/>
      <c r="E20" s="5"/>
      <c r="F20" s="68"/>
      <c r="G20" s="5"/>
      <c r="H20" s="68"/>
      <c r="I20" s="6"/>
    </row>
    <row r="21" spans="1:11" ht="14.45" x14ac:dyDescent="0.5">
      <c r="C21" s="4"/>
      <c r="D21" s="9" t="s">
        <v>18</v>
      </c>
      <c r="E21" s="5"/>
      <c r="F21" s="124">
        <f>F51</f>
        <v>3.5920353982300881</v>
      </c>
      <c r="G21" s="21"/>
      <c r="H21" s="124">
        <f>H51</f>
        <v>11.576106194690261</v>
      </c>
      <c r="I21" s="22"/>
      <c r="K21" s="76"/>
    </row>
    <row r="22" spans="1:11" ht="14.45" x14ac:dyDescent="0.5">
      <c r="C22" s="4"/>
      <c r="D22" s="7" t="s">
        <v>4</v>
      </c>
      <c r="E22" s="19">
        <f>F40</f>
        <v>0.95</v>
      </c>
      <c r="F22" s="125">
        <f>F21*F40</f>
        <v>3.4124336283185834</v>
      </c>
      <c r="G22" s="5"/>
      <c r="H22" s="125">
        <f>H21*F40</f>
        <v>10.997300884955749</v>
      </c>
      <c r="I22" s="6"/>
    </row>
    <row r="23" spans="1:11" ht="14.45" x14ac:dyDescent="0.5">
      <c r="C23" s="4"/>
      <c r="D23" s="9" t="s">
        <v>13</v>
      </c>
      <c r="E23" s="5"/>
      <c r="F23" s="11">
        <f>F14</f>
        <v>0</v>
      </c>
      <c r="G23" s="8"/>
      <c r="H23" s="11">
        <f>H14</f>
        <v>0</v>
      </c>
      <c r="I23" s="6"/>
    </row>
    <row r="24" spans="1:11" ht="14.45" x14ac:dyDescent="0.5">
      <c r="C24" s="4"/>
      <c r="D24" s="7"/>
      <c r="E24" s="5"/>
      <c r="F24" s="8"/>
      <c r="G24" s="8"/>
      <c r="H24" s="8"/>
      <c r="I24" s="6"/>
    </row>
    <row r="25" spans="1:11" ht="18" x14ac:dyDescent="0.6">
      <c r="C25" s="4"/>
      <c r="D25" s="14" t="s">
        <v>19</v>
      </c>
      <c r="E25" s="15"/>
      <c r="F25" s="107">
        <f>F56</f>
        <v>3</v>
      </c>
      <c r="G25" s="13"/>
      <c r="H25" s="107">
        <f>H56</f>
        <v>11</v>
      </c>
      <c r="I25" s="6"/>
    </row>
    <row r="26" spans="1:11" ht="14.45" x14ac:dyDescent="0.5">
      <c r="C26" s="4"/>
      <c r="D26" s="5"/>
      <c r="E26" s="5"/>
      <c r="F26" s="5"/>
      <c r="G26" s="5"/>
      <c r="H26" s="5"/>
      <c r="I26" s="6"/>
    </row>
    <row r="27" spans="1:11" ht="14.45" x14ac:dyDescent="0.5">
      <c r="C27" s="4"/>
      <c r="D27" s="5"/>
      <c r="E27" s="5"/>
      <c r="F27" s="5"/>
      <c r="G27" s="5"/>
      <c r="H27" s="5"/>
      <c r="I27" s="6"/>
    </row>
    <row r="28" spans="1:11" x14ac:dyDescent="0.25">
      <c r="C28" s="175" t="s">
        <v>96</v>
      </c>
      <c r="D28" s="176"/>
      <c r="E28" s="176"/>
      <c r="F28" s="176"/>
      <c r="G28" s="176"/>
      <c r="H28" s="176"/>
      <c r="I28" s="177"/>
    </row>
    <row r="29" spans="1:11" ht="15.75" thickBot="1" x14ac:dyDescent="0.3">
      <c r="C29" s="178"/>
      <c r="D29" s="179"/>
      <c r="E29" s="179"/>
      <c r="F29" s="179"/>
      <c r="G29" s="179"/>
      <c r="H29" s="179"/>
      <c r="I29" s="180"/>
    </row>
    <row r="30" spans="1:11" ht="14.45" hidden="1" x14ac:dyDescent="0.5">
      <c r="D30" t="s">
        <v>14</v>
      </c>
      <c r="E30" t="s">
        <v>15</v>
      </c>
    </row>
    <row r="31" spans="1:11" ht="14.45" hidden="1" x14ac:dyDescent="0.5">
      <c r="A31">
        <v>1</v>
      </c>
      <c r="C31" t="s">
        <v>5</v>
      </c>
      <c r="D31" s="1">
        <f>IF($H$10&gt;$F$10,0,$F$10-$H$10)</f>
        <v>0</v>
      </c>
      <c r="E31" s="1">
        <f>IF($F$10&gt;$H$10,0,$H$10-$F$10)</f>
        <v>2</v>
      </c>
      <c r="F31">
        <v>0.95</v>
      </c>
    </row>
    <row r="32" spans="1:11" ht="14.45" hidden="1" x14ac:dyDescent="0.5">
      <c r="A32">
        <v>2</v>
      </c>
      <c r="C32" t="s">
        <v>24</v>
      </c>
      <c r="D32" s="1">
        <f>IF($H$9&gt;$F$9,0,$F$9-$H$9)</f>
        <v>0</v>
      </c>
      <c r="E32" s="1">
        <f>IF($F$9&gt;$H$9,0,$H$9-$F$9)</f>
        <v>1.2999999999999972</v>
      </c>
      <c r="F32">
        <v>1</v>
      </c>
    </row>
    <row r="33" spans="1:11" ht="14.45" hidden="1" x14ac:dyDescent="0.5">
      <c r="A33">
        <v>3</v>
      </c>
      <c r="C33" t="s">
        <v>6</v>
      </c>
      <c r="D33" s="1">
        <v>0</v>
      </c>
      <c r="E33" s="1">
        <v>0</v>
      </c>
      <c r="F33">
        <v>0.95</v>
      </c>
    </row>
    <row r="34" spans="1:11" ht="14.45" hidden="1" x14ac:dyDescent="0.5">
      <c r="A34">
        <v>4</v>
      </c>
      <c r="C34" t="s">
        <v>7</v>
      </c>
      <c r="D34" s="1">
        <f>IF($H$10&gt;$F$10,0,$F$10-$H$10)</f>
        <v>0</v>
      </c>
      <c r="E34" s="1">
        <f>IF($F$10&gt;$H$10,0,$H$10-$F$10)</f>
        <v>2</v>
      </c>
      <c r="F34">
        <v>1</v>
      </c>
    </row>
    <row r="35" spans="1:11" ht="14.45" hidden="1" x14ac:dyDescent="0.5">
      <c r="A35">
        <v>5</v>
      </c>
      <c r="C35" t="s">
        <v>8</v>
      </c>
      <c r="D35" s="1">
        <f>IF($H$10&gt;$F$10,0,$F$10-$H$10)</f>
        <v>0</v>
      </c>
      <c r="E35" s="1">
        <f>IF($F$10&gt;$H$10,0,$H$10-$F$10)</f>
        <v>2</v>
      </c>
      <c r="F35">
        <v>0.85</v>
      </c>
    </row>
    <row r="36" spans="1:11" ht="14.45" hidden="1" x14ac:dyDescent="0.5">
      <c r="A36">
        <v>6</v>
      </c>
      <c r="C36" t="s">
        <v>9</v>
      </c>
      <c r="D36" s="1">
        <v>0</v>
      </c>
      <c r="E36" s="1">
        <v>0</v>
      </c>
      <c r="F36">
        <v>0.85</v>
      </c>
    </row>
    <row r="37" spans="1:11" ht="14.45" hidden="1" x14ac:dyDescent="0.5">
      <c r="A37">
        <v>7</v>
      </c>
      <c r="C37" t="s">
        <v>20</v>
      </c>
      <c r="D37" s="1">
        <v>0</v>
      </c>
      <c r="E37" s="1">
        <v>0</v>
      </c>
      <c r="F37">
        <v>0.9</v>
      </c>
    </row>
    <row r="38" spans="1:11" ht="14.45" hidden="1" x14ac:dyDescent="0.5">
      <c r="A38">
        <v>8</v>
      </c>
      <c r="C38" t="s">
        <v>10</v>
      </c>
      <c r="D38" s="1">
        <f>IF($H$10&gt;$F$10,0,$F$10-$H$10)</f>
        <v>0</v>
      </c>
      <c r="E38" s="1">
        <f>IF($F$10&gt;$H$10,0,$H$10-$F$10)</f>
        <v>2</v>
      </c>
      <c r="F38">
        <v>1</v>
      </c>
    </row>
    <row r="39" spans="1:11" ht="14.45" hidden="1" x14ac:dyDescent="0.5"/>
    <row r="40" spans="1:11" ht="14.45" hidden="1" x14ac:dyDescent="0.5">
      <c r="D40" s="1">
        <f>VLOOKUP(G5,C31:D38,2,FALSE)</f>
        <v>0</v>
      </c>
      <c r="E40" s="1">
        <f>VLOOKUP(G5,C31:E38,3,FALSE)</f>
        <v>0</v>
      </c>
      <c r="F40">
        <f>VLOOKUP(G5,C31:F38,4,FALSE)</f>
        <v>0.95</v>
      </c>
    </row>
    <row r="41" spans="1:11" ht="14.45" hidden="1" x14ac:dyDescent="0.5"/>
    <row r="42" spans="1:11" ht="14.45" hidden="1" x14ac:dyDescent="0.5">
      <c r="C42" t="s">
        <v>26</v>
      </c>
    </row>
    <row r="43" spans="1:11" ht="14.45" hidden="1" x14ac:dyDescent="0.5">
      <c r="C43" t="s">
        <v>27</v>
      </c>
    </row>
    <row r="44" spans="1:11" ht="14.45" hidden="1" x14ac:dyDescent="0.5">
      <c r="C44" t="s">
        <v>28</v>
      </c>
    </row>
    <row r="45" spans="1:11" ht="14.45" hidden="1" x14ac:dyDescent="0.5">
      <c r="C45" t="s">
        <v>29</v>
      </c>
      <c r="F45" t="s">
        <v>72</v>
      </c>
      <c r="H45" t="s">
        <v>72</v>
      </c>
    </row>
    <row r="46" spans="1:11" ht="14.45" hidden="1" x14ac:dyDescent="0.5">
      <c r="E46" t="s">
        <v>167</v>
      </c>
      <c r="F46" s="50">
        <f>IF(F19&lt;0,ROUND((F19/2)+0.05,1),ROUND(F19/2,1))</f>
        <v>3.3</v>
      </c>
      <c r="H46">
        <f>IF(H19&lt;0,ROUND((H19/2)+0.05,1),ROUND(H19/2,1))</f>
        <v>10.199999999999999</v>
      </c>
      <c r="K46" s="92"/>
    </row>
    <row r="47" spans="1:11" ht="14.45" hidden="1" x14ac:dyDescent="0.5">
      <c r="E47" t="s">
        <v>73</v>
      </c>
      <c r="F47" s="120">
        <f>(F46*F11/113)+F12</f>
        <v>3.5920353982300881</v>
      </c>
      <c r="H47" s="120">
        <f>(H46*H11/113)+H12</f>
        <v>11.576106194690261</v>
      </c>
    </row>
    <row r="48" spans="1:11" ht="14.45" hidden="1" x14ac:dyDescent="0.5">
      <c r="F48" s="120">
        <f>IF(F47&lt;0,F47*-1,F47)</f>
        <v>3.5920353982300881</v>
      </c>
      <c r="H48" s="120">
        <f>IF(H47&lt;0,H47*-1,H47)</f>
        <v>11.576106194690261</v>
      </c>
    </row>
    <row r="49" spans="5:12" ht="14.45" hidden="1" x14ac:dyDescent="0.5">
      <c r="F49" s="120">
        <f>IF(F48-INT(F48)=0.5,IF(F47&lt;0,F47+0.001,F47),F47)</f>
        <v>3.5920353982300881</v>
      </c>
      <c r="H49" s="120">
        <f>IF(H48-INT(H48)=0.5,IF(H47&lt;0,H47+0.001,H47),H47)</f>
        <v>11.576106194690261</v>
      </c>
      <c r="L49" s="50"/>
    </row>
    <row r="50" spans="5:12" ht="14.45" hidden="1" x14ac:dyDescent="0.5">
      <c r="F50" s="76">
        <f>ROUND(F49,0)</f>
        <v>4</v>
      </c>
      <c r="H50" s="76">
        <f>ROUND(H49,0)</f>
        <v>12</v>
      </c>
      <c r="L50" s="50"/>
    </row>
    <row r="51" spans="5:12" ht="14.45" hidden="1" x14ac:dyDescent="0.5">
      <c r="F51" s="120">
        <f>F47</f>
        <v>3.5920353982300881</v>
      </c>
      <c r="H51" s="120">
        <f>H47</f>
        <v>11.576106194690261</v>
      </c>
    </row>
    <row r="52" spans="5:12" ht="14.45" hidden="1" x14ac:dyDescent="0.5"/>
    <row r="53" spans="5:12" ht="14.45" hidden="1" x14ac:dyDescent="0.5">
      <c r="E53" t="s">
        <v>13</v>
      </c>
      <c r="F53" s="120">
        <f>F22+F14</f>
        <v>3.4124336283185834</v>
      </c>
      <c r="H53" s="120">
        <f>H22+H14</f>
        <v>10.997300884955749</v>
      </c>
    </row>
    <row r="54" spans="5:12" ht="14.45" hidden="1" x14ac:dyDescent="0.5">
      <c r="F54" s="120">
        <f>IF(F53&lt;0,F53*-1,F53)</f>
        <v>3.4124336283185834</v>
      </c>
      <c r="H54" s="120">
        <f>IF(H53&lt;0,H53*-1,H53)</f>
        <v>10.997300884955749</v>
      </c>
    </row>
    <row r="55" spans="5:12" ht="14.45" hidden="1" x14ac:dyDescent="0.5">
      <c r="F55" s="120">
        <f>IF(F54-INT(F54)=0.5,IF(F53&lt;0,F53+0.001,F53),F53)</f>
        <v>3.4124336283185834</v>
      </c>
      <c r="H55" s="120">
        <f>IF(H54-INT(H54)=0.5,IF(H53&lt;0,H53+0.001,H53),H53)</f>
        <v>10.997300884955749</v>
      </c>
    </row>
    <row r="56" spans="5:12" ht="14.45" hidden="1" x14ac:dyDescent="0.5">
      <c r="F56" s="76">
        <f>ROUND(F55,0)</f>
        <v>3</v>
      </c>
      <c r="H56" s="76">
        <f>ROUND(H55,0)</f>
        <v>11</v>
      </c>
    </row>
    <row r="57" spans="5:12" ht="14.45" x14ac:dyDescent="0.5">
      <c r="F57" s="120"/>
      <c r="H57" s="120"/>
    </row>
  </sheetData>
  <sheetProtection algorithmName="SHA-512" hashValue="4q/arWZrd6T2NdN3DRLvogAKe/+lkZ1fiG0jMDCf8Qlv/DHNQfknsSLd+VSzF/lFF0I62Qyxz+wIhlpzDpQ0Vg==" saltValue="1p61ypqF8ks+LgxUW1DQ+w==" spinCount="100000" sheet="1" selectLockedCells="1"/>
  <mergeCells count="7">
    <mergeCell ref="C2:D2"/>
    <mergeCell ref="C5:D5"/>
    <mergeCell ref="C28:I29"/>
    <mergeCell ref="C4:D4"/>
    <mergeCell ref="C3:D3"/>
    <mergeCell ref="G4:H4"/>
    <mergeCell ref="C16:I16"/>
  </mergeCells>
  <conditionalFormatting sqref="C9:C14">
    <cfRule type="expression" dxfId="49" priority="2">
      <formula>$G$5&lt;&gt;"Fourball Matchplay"</formula>
    </cfRule>
  </conditionalFormatting>
  <conditionalFormatting sqref="C16:I16">
    <cfRule type="expression" dxfId="48" priority="10">
      <formula>$G$5=$C$32</formula>
    </cfRule>
    <cfRule type="expression" dxfId="47" priority="11">
      <formula>$G$5&lt;&gt;$C$32</formula>
    </cfRule>
  </conditionalFormatting>
  <conditionalFormatting sqref="C17:I29">
    <cfRule type="expression" dxfId="46" priority="12">
      <formula>$G$5="Individual Medal (Scratch)"</formula>
    </cfRule>
  </conditionalFormatting>
  <conditionalFormatting sqref="F21">
    <cfRule type="expression" dxfId="45" priority="9">
      <formula>$G$3=$C$45</formula>
    </cfRule>
  </conditionalFormatting>
  <conditionalFormatting sqref="H21">
    <cfRule type="expression" dxfId="44" priority="1">
      <formula>$G$3=$C$45</formula>
    </cfRule>
  </conditionalFormatting>
  <dataValidations count="2">
    <dataValidation type="list" allowBlank="1" showInputMessage="1" showErrorMessage="1" sqref="G5">
      <formula1>$C$31:$C$37</formula1>
    </dataValidation>
    <dataValidation type="list" allowBlank="1" showInputMessage="1" showErrorMessage="1" sqref="G6">
      <formula1>#REF!</formula1>
    </dataValidation>
  </dataValidations>
  <pageMargins left="0.7" right="0.7" top="0.75" bottom="0.75" header="0.3" footer="0.3"/>
  <pageSetup paperSize="9" orientation="portrait" horizontalDpi="360" verticalDpi="36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C1:Z55"/>
  <sheetViews>
    <sheetView workbookViewId="0">
      <selection activeCell="K9" sqref="K9"/>
    </sheetView>
  </sheetViews>
  <sheetFormatPr defaultRowHeight="15" x14ac:dyDescent="0.25"/>
  <cols>
    <col min="2" max="2" width="4.42578125" customWidth="1"/>
    <col min="3" max="3" width="30.85546875" customWidth="1"/>
    <col min="5" max="5" width="13" customWidth="1"/>
    <col min="6" max="6" width="9.140625" bestFit="1" customWidth="1"/>
    <col min="7" max="7" width="17.5703125" customWidth="1"/>
    <col min="8" max="8" width="9.28515625" bestFit="1" customWidth="1"/>
    <col min="9" max="9" width="10.140625" customWidth="1"/>
    <col min="13" max="13" width="9" customWidth="1"/>
    <col min="14" max="15" width="9" style="1" customWidth="1"/>
    <col min="16" max="21" width="9" hidden="1" customWidth="1"/>
    <col min="22" max="24" width="9" customWidth="1"/>
    <col min="25" max="25" width="12.42578125" customWidth="1"/>
    <col min="26" max="27" width="9" customWidth="1"/>
  </cols>
  <sheetData>
    <row r="1" spans="3:26" ht="14.65" thickBot="1" x14ac:dyDescent="0.55000000000000004"/>
    <row r="2" spans="3:26" ht="14.45" x14ac:dyDescent="0.5">
      <c r="C2" s="171" t="s">
        <v>22</v>
      </c>
      <c r="D2" s="172"/>
      <c r="E2" s="2"/>
      <c r="F2" s="2"/>
      <c r="G2" s="2"/>
      <c r="H2" s="2"/>
      <c r="I2" s="2"/>
      <c r="J2" s="2"/>
      <c r="K2" s="2"/>
      <c r="L2" s="2"/>
      <c r="M2" s="2"/>
      <c r="N2" s="57"/>
      <c r="O2" s="58"/>
    </row>
    <row r="3" spans="3:26" ht="22.35" customHeight="1" x14ac:dyDescent="0.5">
      <c r="C3" s="173" t="s">
        <v>23</v>
      </c>
      <c r="D3" s="174"/>
      <c r="E3" s="5"/>
      <c r="F3" s="30"/>
      <c r="G3" s="199"/>
      <c r="H3" s="199"/>
      <c r="I3" s="5"/>
      <c r="J3" s="5"/>
      <c r="K3" s="5"/>
      <c r="L3" s="5"/>
      <c r="M3" s="5"/>
      <c r="N3" s="8"/>
      <c r="O3" s="59"/>
    </row>
    <row r="4" spans="3:26" ht="14.45" x14ac:dyDescent="0.5">
      <c r="C4" s="52"/>
      <c r="D4" s="53"/>
      <c r="E4" s="5"/>
      <c r="F4" s="5"/>
      <c r="G4" s="5"/>
      <c r="H4" s="5"/>
      <c r="I4" s="5"/>
      <c r="J4" s="5"/>
      <c r="K4" s="5"/>
      <c r="L4" s="5"/>
      <c r="M4" s="5"/>
      <c r="N4" s="8"/>
      <c r="O4" s="59"/>
    </row>
    <row r="5" spans="3:26" ht="22.35" customHeight="1" x14ac:dyDescent="0.7">
      <c r="C5" s="193" t="s">
        <v>38</v>
      </c>
      <c r="D5" s="194"/>
      <c r="E5" s="31"/>
      <c r="F5" s="32"/>
      <c r="G5" s="200" t="s">
        <v>145</v>
      </c>
      <c r="H5" s="200"/>
      <c r="I5" s="5"/>
      <c r="J5" s="47">
        <v>9</v>
      </c>
      <c r="K5" s="101" t="s">
        <v>125</v>
      </c>
      <c r="L5" s="5"/>
      <c r="M5" s="74"/>
      <c r="N5" s="101"/>
      <c r="O5" s="59"/>
    </row>
    <row r="6" spans="3:26" x14ac:dyDescent="0.25">
      <c r="C6" s="4"/>
      <c r="D6" s="5"/>
      <c r="E6" s="5"/>
      <c r="F6" s="5"/>
      <c r="G6" s="5"/>
      <c r="H6" s="5"/>
      <c r="I6" s="5"/>
      <c r="J6" s="5"/>
      <c r="K6" s="5"/>
      <c r="L6" s="5"/>
      <c r="M6" s="198"/>
      <c r="N6" s="8"/>
      <c r="O6" s="59"/>
    </row>
    <row r="7" spans="3:26" x14ac:dyDescent="0.25">
      <c r="C7" s="4"/>
      <c r="D7" s="5"/>
      <c r="E7" s="5"/>
      <c r="F7" s="53" t="s">
        <v>35</v>
      </c>
      <c r="G7" s="8"/>
      <c r="H7" s="53" t="s">
        <v>36</v>
      </c>
      <c r="I7" s="8"/>
      <c r="J7" s="8"/>
      <c r="K7" s="53" t="s">
        <v>37</v>
      </c>
      <c r="L7" s="5"/>
      <c r="M7" s="198"/>
      <c r="N7" s="77"/>
      <c r="O7" s="78"/>
      <c r="Q7" s="1" t="s">
        <v>32</v>
      </c>
      <c r="R7" s="1" t="s">
        <v>34</v>
      </c>
      <c r="S7" s="1" t="s">
        <v>16</v>
      </c>
      <c r="T7" s="1" t="s">
        <v>51</v>
      </c>
      <c r="U7" s="85"/>
      <c r="V7" s="85"/>
      <c r="W7" s="85"/>
      <c r="X7" s="85"/>
      <c r="Z7" s="85"/>
    </row>
    <row r="8" spans="3:26" x14ac:dyDescent="0.25">
      <c r="C8" s="4"/>
      <c r="D8" s="5"/>
      <c r="E8" s="5"/>
      <c r="F8" s="5"/>
      <c r="G8" s="5"/>
      <c r="H8" s="5"/>
      <c r="I8" s="5"/>
      <c r="J8" s="5"/>
      <c r="K8" s="5"/>
      <c r="L8" s="5"/>
      <c r="M8" s="198"/>
      <c r="N8" s="60"/>
      <c r="O8" s="78"/>
      <c r="Q8" s="1"/>
      <c r="R8" s="1"/>
      <c r="S8" s="1"/>
      <c r="U8" s="85"/>
      <c r="V8" s="85"/>
      <c r="W8" s="85"/>
      <c r="X8" s="85"/>
      <c r="Z8" s="85"/>
    </row>
    <row r="9" spans="3:26" ht="19.149999999999999" customHeight="1" x14ac:dyDescent="0.25">
      <c r="C9" s="105" t="s">
        <v>126</v>
      </c>
      <c r="D9" s="5"/>
      <c r="E9" s="7" t="s">
        <v>11</v>
      </c>
      <c r="F9" s="48">
        <v>69</v>
      </c>
      <c r="G9" s="7" t="s">
        <v>11</v>
      </c>
      <c r="H9" s="48">
        <v>69</v>
      </c>
      <c r="I9" s="5"/>
      <c r="J9" s="7" t="s">
        <v>11</v>
      </c>
      <c r="K9" s="48">
        <v>72</v>
      </c>
      <c r="L9" s="5"/>
      <c r="M9" s="198"/>
      <c r="N9" s="80"/>
      <c r="O9" s="78"/>
      <c r="P9" t="s">
        <v>45</v>
      </c>
      <c r="Q9" s="1">
        <f>F9</f>
        <v>69</v>
      </c>
      <c r="R9" s="1">
        <f>F10</f>
        <v>69</v>
      </c>
      <c r="S9" s="1">
        <f>F11</f>
        <v>113</v>
      </c>
      <c r="T9">
        <f>IF(R9&gt;R13,R9-R13,0)</f>
        <v>0</v>
      </c>
      <c r="U9" s="85"/>
      <c r="V9" s="95"/>
      <c r="W9" s="95"/>
      <c r="X9" s="95"/>
      <c r="Z9" s="95"/>
    </row>
    <row r="10" spans="3:26" ht="19.149999999999999" customHeight="1" x14ac:dyDescent="0.5">
      <c r="C10" s="106" t="s">
        <v>127</v>
      </c>
      <c r="D10" s="5"/>
      <c r="E10" s="7" t="s">
        <v>0</v>
      </c>
      <c r="F10" s="47">
        <v>69</v>
      </c>
      <c r="G10" s="7" t="s">
        <v>0</v>
      </c>
      <c r="H10" s="47">
        <v>69</v>
      </c>
      <c r="I10" s="5"/>
      <c r="J10" s="7" t="s">
        <v>0</v>
      </c>
      <c r="K10" s="47">
        <v>72</v>
      </c>
      <c r="L10" s="5"/>
      <c r="M10" s="10"/>
      <c r="N10" s="81"/>
      <c r="O10" s="78"/>
      <c r="P10" t="s">
        <v>46</v>
      </c>
      <c r="Q10" s="1">
        <f>H9</f>
        <v>69</v>
      </c>
      <c r="R10" s="1">
        <f>H10</f>
        <v>69</v>
      </c>
      <c r="S10" s="1">
        <f>H11</f>
        <v>113</v>
      </c>
      <c r="T10">
        <f>IF(R10&gt;R13,R10-R13,0)</f>
        <v>0</v>
      </c>
      <c r="U10" s="85"/>
      <c r="V10" s="95"/>
      <c r="W10" s="85"/>
      <c r="X10" s="95"/>
      <c r="Z10" s="95"/>
    </row>
    <row r="11" spans="3:26" ht="19.149999999999999" customHeight="1" x14ac:dyDescent="0.5">
      <c r="C11" s="106" t="s">
        <v>128</v>
      </c>
      <c r="D11" s="5"/>
      <c r="E11" s="7" t="s">
        <v>12</v>
      </c>
      <c r="F11" s="47">
        <v>113</v>
      </c>
      <c r="G11" s="7" t="s">
        <v>12</v>
      </c>
      <c r="H11" s="47">
        <v>113</v>
      </c>
      <c r="I11" s="5"/>
      <c r="J11" s="7" t="s">
        <v>12</v>
      </c>
      <c r="K11" s="47">
        <v>129</v>
      </c>
      <c r="L11" s="5"/>
      <c r="M11" s="10"/>
      <c r="N11" s="81"/>
      <c r="O11" s="78"/>
      <c r="P11" t="s">
        <v>47</v>
      </c>
      <c r="Q11" s="1">
        <f>K9</f>
        <v>72</v>
      </c>
      <c r="R11" s="1">
        <f>K10</f>
        <v>72</v>
      </c>
      <c r="S11" s="1">
        <f>K11</f>
        <v>129</v>
      </c>
      <c r="T11">
        <f>IF(R11&gt;R13,R11-R13,0)</f>
        <v>3</v>
      </c>
      <c r="U11" s="85"/>
      <c r="V11" s="95"/>
      <c r="W11" s="85"/>
      <c r="X11" s="95"/>
      <c r="Z11" s="95"/>
    </row>
    <row r="12" spans="3:26" ht="19.149999999999999" customHeight="1" x14ac:dyDescent="0.5">
      <c r="C12" s="106" t="s">
        <v>129</v>
      </c>
      <c r="D12" s="5"/>
      <c r="E12" s="10" t="s">
        <v>16</v>
      </c>
      <c r="F12" s="34">
        <f>IF(F9&gt;0,36-V12,0)</f>
        <v>36</v>
      </c>
      <c r="G12" s="10" t="s">
        <v>16</v>
      </c>
      <c r="H12" s="34">
        <f>IF(H9&gt;0,36-X12,0)</f>
        <v>36</v>
      </c>
      <c r="I12" s="60"/>
      <c r="J12" s="10" t="s">
        <v>16</v>
      </c>
      <c r="K12" s="34">
        <f>IF(K9&gt;0,36-Z12,0)</f>
        <v>36</v>
      </c>
      <c r="L12" s="86"/>
      <c r="M12" s="10"/>
      <c r="N12" s="34"/>
      <c r="O12" s="78"/>
      <c r="P12" t="s">
        <v>48</v>
      </c>
      <c r="Q12" s="36">
        <f>N9</f>
        <v>0</v>
      </c>
      <c r="R12" s="1">
        <f>N10</f>
        <v>0</v>
      </c>
      <c r="S12" s="1">
        <f>N11</f>
        <v>0</v>
      </c>
      <c r="U12" s="85"/>
      <c r="V12" s="85"/>
      <c r="W12" s="85"/>
      <c r="X12" s="85"/>
      <c r="Z12" s="85"/>
    </row>
    <row r="13" spans="3:26" ht="19.149999999999999" customHeight="1" x14ac:dyDescent="0.5">
      <c r="C13" s="106" t="s">
        <v>130</v>
      </c>
      <c r="D13" s="5"/>
      <c r="E13" s="5"/>
      <c r="F13" s="5"/>
      <c r="G13" s="5"/>
      <c r="H13" s="5"/>
      <c r="I13" s="5"/>
      <c r="J13" s="5"/>
      <c r="K13" s="5"/>
      <c r="L13" s="5"/>
      <c r="M13" s="60"/>
      <c r="N13" s="60"/>
      <c r="O13" s="78"/>
      <c r="P13" s="35" t="s">
        <v>33</v>
      </c>
      <c r="Q13" s="1" t="e">
        <f>#REF!</f>
        <v>#REF!</v>
      </c>
      <c r="R13" s="1">
        <f>SMALL(R9:R12,COUNTIF($R$9:$R$12,0)+1)</f>
        <v>69</v>
      </c>
      <c r="S13" s="1">
        <f>MAX(S9:S12)</f>
        <v>129</v>
      </c>
    </row>
    <row r="14" spans="3:26" ht="19.149999999999999" customHeight="1" x14ac:dyDescent="0.55000000000000004">
      <c r="C14" s="106" t="s">
        <v>131</v>
      </c>
      <c r="D14" s="5"/>
      <c r="E14" s="27" t="s">
        <v>13</v>
      </c>
      <c r="F14" s="61">
        <f>T9</f>
        <v>0</v>
      </c>
      <c r="G14" s="26"/>
      <c r="H14" s="61">
        <f>T10</f>
        <v>0</v>
      </c>
      <c r="I14" s="5"/>
      <c r="J14" s="5"/>
      <c r="K14" s="61">
        <f>T11</f>
        <v>3</v>
      </c>
      <c r="L14" s="5"/>
      <c r="M14" s="60"/>
      <c r="N14" s="79"/>
      <c r="O14" s="78"/>
    </row>
    <row r="15" spans="3:26" ht="14.45" x14ac:dyDescent="0.5">
      <c r="C15" s="4"/>
      <c r="D15" s="5"/>
      <c r="E15" s="7"/>
      <c r="F15" s="8"/>
      <c r="G15" s="5"/>
      <c r="H15" s="8"/>
      <c r="I15" s="5"/>
      <c r="J15" s="5"/>
      <c r="K15" s="5"/>
      <c r="L15" s="5"/>
      <c r="M15" s="5"/>
      <c r="N15" s="8"/>
      <c r="O15" s="59"/>
    </row>
    <row r="16" spans="3:26" ht="14.45" x14ac:dyDescent="0.5">
      <c r="C16" s="4"/>
      <c r="D16" s="5"/>
      <c r="E16" s="7"/>
      <c r="F16" s="8"/>
      <c r="G16" s="109" t="s">
        <v>54</v>
      </c>
      <c r="H16" s="8"/>
      <c r="I16" s="5"/>
      <c r="J16" s="5"/>
      <c r="K16" s="5"/>
      <c r="L16" s="205" t="s">
        <v>54</v>
      </c>
      <c r="M16" s="205"/>
      <c r="N16" s="8"/>
      <c r="O16" s="59"/>
    </row>
    <row r="17" spans="3:24" ht="14.45" x14ac:dyDescent="0.5">
      <c r="C17" s="4"/>
      <c r="D17" s="5"/>
      <c r="E17" s="5"/>
      <c r="F17" s="62" t="s">
        <v>44</v>
      </c>
      <c r="G17" s="53"/>
      <c r="H17" s="64" t="s">
        <v>41</v>
      </c>
      <c r="I17" s="53"/>
      <c r="J17" s="53"/>
      <c r="K17" s="62" t="s">
        <v>42</v>
      </c>
      <c r="L17" s="53"/>
      <c r="M17" s="53"/>
      <c r="N17" s="64" t="s">
        <v>43</v>
      </c>
      <c r="O17" s="59"/>
    </row>
    <row r="18" spans="3:24" ht="14.45" x14ac:dyDescent="0.5">
      <c r="C18" s="4"/>
      <c r="D18" s="18" t="s">
        <v>17</v>
      </c>
      <c r="E18" s="5"/>
      <c r="F18" s="5"/>
      <c r="G18" s="5"/>
      <c r="H18" s="5"/>
      <c r="I18" s="5"/>
      <c r="J18" s="5"/>
      <c r="K18" s="5"/>
      <c r="L18" s="5"/>
      <c r="M18" s="5"/>
      <c r="N18" s="8" t="s">
        <v>31</v>
      </c>
      <c r="O18" s="59"/>
    </row>
    <row r="19" spans="3:24" ht="14.45" x14ac:dyDescent="0.5">
      <c r="C19" s="4"/>
      <c r="D19" s="44"/>
      <c r="E19" s="7" t="s">
        <v>3</v>
      </c>
      <c r="F19" s="49">
        <v>-0.7</v>
      </c>
      <c r="G19" s="5"/>
      <c r="H19" s="49">
        <v>-4.7</v>
      </c>
      <c r="I19" s="5"/>
      <c r="J19" s="5"/>
      <c r="K19" s="49">
        <v>-1.3</v>
      </c>
      <c r="L19" s="5"/>
      <c r="M19" s="5"/>
      <c r="N19" s="49">
        <v>2.2999999999999998</v>
      </c>
      <c r="O19" s="59"/>
    </row>
    <row r="20" spans="3:24" ht="3.4" customHeight="1" x14ac:dyDescent="0.5">
      <c r="C20" s="9"/>
      <c r="D20" s="44"/>
      <c r="E20" s="5"/>
      <c r="F20" s="44"/>
      <c r="G20" s="5"/>
      <c r="H20" s="44"/>
      <c r="I20" s="5"/>
      <c r="J20" s="5"/>
      <c r="K20" s="44"/>
      <c r="L20" s="5"/>
      <c r="M20" s="5"/>
      <c r="N20" s="8"/>
      <c r="O20" s="59"/>
    </row>
    <row r="21" spans="3:24" ht="18" customHeight="1" x14ac:dyDescent="0.5">
      <c r="C21" s="9"/>
      <c r="D21" s="44"/>
      <c r="E21" s="5" t="s">
        <v>49</v>
      </c>
      <c r="F21" s="49" t="s">
        <v>45</v>
      </c>
      <c r="G21" s="5"/>
      <c r="H21" s="49" t="s">
        <v>46</v>
      </c>
      <c r="I21" s="5"/>
      <c r="J21" s="5"/>
      <c r="K21" s="49" t="s">
        <v>47</v>
      </c>
      <c r="L21" s="5"/>
      <c r="M21" s="5"/>
      <c r="N21" s="49" t="s">
        <v>47</v>
      </c>
      <c r="O21" s="59"/>
    </row>
    <row r="22" spans="3:24" ht="15.4" customHeight="1" x14ac:dyDescent="0.5">
      <c r="C22" s="9"/>
      <c r="D22" s="44"/>
      <c r="E22" s="5"/>
      <c r="F22" s="44"/>
      <c r="G22" s="53"/>
      <c r="H22" s="44"/>
      <c r="I22" s="5"/>
      <c r="J22" s="5"/>
      <c r="K22" s="44"/>
      <c r="L22" s="174"/>
      <c r="M22" s="174"/>
      <c r="N22" s="8"/>
      <c r="O22" s="59"/>
    </row>
    <row r="23" spans="3:24" ht="14.45" x14ac:dyDescent="0.5">
      <c r="C23" s="4"/>
      <c r="D23" s="41"/>
      <c r="E23" s="7" t="s">
        <v>18</v>
      </c>
      <c r="F23" s="118">
        <f>F49</f>
        <v>0</v>
      </c>
      <c r="G23" s="46"/>
      <c r="H23" s="118">
        <f>H49</f>
        <v>-2</v>
      </c>
      <c r="I23" s="46"/>
      <c r="J23" s="46"/>
      <c r="K23" s="118">
        <f>K49</f>
        <v>-1</v>
      </c>
      <c r="L23" s="5"/>
      <c r="M23" s="5"/>
      <c r="N23" s="118">
        <f>N49</f>
        <v>1</v>
      </c>
      <c r="O23" s="59"/>
    </row>
    <row r="24" spans="3:24" ht="14.45" x14ac:dyDescent="0.5">
      <c r="C24" s="4"/>
      <c r="D24" s="66"/>
      <c r="E24" s="7" t="s">
        <v>13</v>
      </c>
      <c r="F24" s="110">
        <f>F51</f>
        <v>0</v>
      </c>
      <c r="G24" s="111"/>
      <c r="H24" s="110">
        <f>H51</f>
        <v>0</v>
      </c>
      <c r="I24" s="41"/>
      <c r="J24" s="41"/>
      <c r="K24" s="110">
        <f>K51</f>
        <v>3</v>
      </c>
      <c r="L24" s="206"/>
      <c r="M24" s="206"/>
      <c r="N24" s="110">
        <f>N51</f>
        <v>3</v>
      </c>
      <c r="O24" s="59"/>
    </row>
    <row r="25" spans="3:24" ht="14.45" x14ac:dyDescent="0.5">
      <c r="C25" s="4"/>
      <c r="D25" s="66"/>
      <c r="E25" s="7"/>
      <c r="F25" s="112"/>
      <c r="G25" s="111"/>
      <c r="H25" s="112"/>
      <c r="I25" s="41"/>
      <c r="J25" s="41"/>
      <c r="K25" s="112"/>
      <c r="L25" s="111"/>
      <c r="M25" s="111"/>
      <c r="N25" s="112"/>
      <c r="O25" s="59"/>
    </row>
    <row r="26" spans="3:24" ht="18" x14ac:dyDescent="0.6">
      <c r="C26" s="4"/>
      <c r="D26" s="41"/>
      <c r="E26" s="113" t="s">
        <v>19</v>
      </c>
      <c r="F26" s="107">
        <f>F55</f>
        <v>0</v>
      </c>
      <c r="G26" s="99"/>
      <c r="H26" s="107">
        <f>H55</f>
        <v>-2</v>
      </c>
      <c r="I26" s="100"/>
      <c r="J26" s="100"/>
      <c r="K26" s="107">
        <f>K55</f>
        <v>2</v>
      </c>
      <c r="L26" s="207"/>
      <c r="M26" s="207"/>
      <c r="N26" s="107">
        <f>N55</f>
        <v>4</v>
      </c>
      <c r="O26" s="59"/>
    </row>
    <row r="27" spans="3:24" ht="15.75" x14ac:dyDescent="0.55000000000000004">
      <c r="C27" s="9"/>
      <c r="D27" s="5"/>
      <c r="E27" s="5"/>
      <c r="F27" s="8"/>
      <c r="G27" s="8"/>
      <c r="H27" s="8"/>
      <c r="I27" s="208"/>
      <c r="J27" s="208"/>
      <c r="K27" s="8"/>
      <c r="L27" s="5"/>
      <c r="M27" s="5"/>
      <c r="N27" s="8"/>
      <c r="O27" s="59"/>
    </row>
    <row r="28" spans="3:24" ht="18" x14ac:dyDescent="0.6">
      <c r="C28" s="4"/>
      <c r="D28" s="5"/>
      <c r="E28" s="7" t="s">
        <v>143</v>
      </c>
      <c r="F28" s="114">
        <f>ROUND((F26-$Q$53)*0.9,0)</f>
        <v>2</v>
      </c>
      <c r="G28" s="34"/>
      <c r="H28" s="114">
        <f>ROUND((H26-$Q$53)*0.9,0)</f>
        <v>0</v>
      </c>
      <c r="I28" s="34"/>
      <c r="J28" s="34"/>
      <c r="K28" s="114">
        <f>ROUND((K26-$Q$53)*0.9,0)</f>
        <v>4</v>
      </c>
      <c r="L28" s="34" t="str">
        <f>IF(ISNUMBER(SEARCH("Medal",G5)),"Y","N")</f>
        <v>N</v>
      </c>
      <c r="M28" s="8"/>
      <c r="N28" s="114">
        <f>ROUND((N26-$Q$53)*0.9,0)</f>
        <v>5</v>
      </c>
      <c r="O28" s="59"/>
    </row>
    <row r="29" spans="3:24" ht="18" x14ac:dyDescent="0.6">
      <c r="C29" s="4"/>
      <c r="D29" s="5"/>
      <c r="E29" s="69"/>
      <c r="F29" s="5"/>
      <c r="G29" s="115"/>
      <c r="H29" s="5"/>
      <c r="I29" s="5"/>
      <c r="J29" s="5"/>
      <c r="K29" s="5"/>
      <c r="L29" s="201"/>
      <c r="M29" s="201"/>
      <c r="N29" s="8"/>
      <c r="O29" s="59"/>
      <c r="X29" s="51"/>
    </row>
    <row r="30" spans="3:24" ht="23.25" customHeight="1" thickBot="1" x14ac:dyDescent="0.3">
      <c r="C30" s="202" t="s">
        <v>120</v>
      </c>
      <c r="D30" s="203"/>
      <c r="E30" s="203"/>
      <c r="F30" s="203"/>
      <c r="G30" s="203"/>
      <c r="H30" s="203"/>
      <c r="I30" s="203"/>
      <c r="J30" s="203"/>
      <c r="K30" s="203"/>
      <c r="L30" s="203"/>
      <c r="M30" s="203"/>
      <c r="N30" s="203"/>
      <c r="O30" s="204"/>
    </row>
    <row r="31" spans="3:24" ht="14.45" hidden="1" x14ac:dyDescent="0.5">
      <c r="N31"/>
      <c r="P31" s="1"/>
    </row>
    <row r="32" spans="3:24" ht="14.45" hidden="1" x14ac:dyDescent="0.5">
      <c r="F32" t="s">
        <v>44</v>
      </c>
      <c r="H32" t="s">
        <v>41</v>
      </c>
      <c r="K32" t="s">
        <v>42</v>
      </c>
      <c r="N32" s="1" t="s">
        <v>43</v>
      </c>
    </row>
    <row r="33" spans="3:25" ht="14.45" hidden="1" x14ac:dyDescent="0.5">
      <c r="C33">
        <v>18</v>
      </c>
    </row>
    <row r="34" spans="3:25" ht="14.45" hidden="1" x14ac:dyDescent="0.5">
      <c r="C34">
        <v>9</v>
      </c>
      <c r="E34" t="s">
        <v>67</v>
      </c>
      <c r="F34" s="50">
        <f>F19</f>
        <v>-0.7</v>
      </c>
      <c r="H34" s="50">
        <f>H19</f>
        <v>-4.7</v>
      </c>
      <c r="K34" s="50">
        <f>K19</f>
        <v>-1.3</v>
      </c>
      <c r="N34" s="50">
        <f>N19</f>
        <v>2.2999999999999998</v>
      </c>
    </row>
    <row r="35" spans="3:25" ht="14.45" hidden="1" x14ac:dyDescent="0.5">
      <c r="E35" t="s">
        <v>32</v>
      </c>
      <c r="F35">
        <f>VLOOKUP(F$21,$P$9:$S$12,2,FALSE)</f>
        <v>69</v>
      </c>
      <c r="H35">
        <f>VLOOKUP(H$21,$P$9:$S$12,2,FALSE)</f>
        <v>69</v>
      </c>
      <c r="K35">
        <f>VLOOKUP(K$21,$P$9:$S$12,2,FALSE)</f>
        <v>72</v>
      </c>
      <c r="N35">
        <f>VLOOKUP(N$21,$P$9:$S$12,2,FALSE)</f>
        <v>72</v>
      </c>
    </row>
    <row r="36" spans="3:25" ht="14.45" hidden="1" x14ac:dyDescent="0.5">
      <c r="C36" t="s">
        <v>45</v>
      </c>
      <c r="E36" t="s">
        <v>34</v>
      </c>
      <c r="F36">
        <f>VLOOKUP(F$21,$P$9:$S$12,3,FALSE)</f>
        <v>69</v>
      </c>
      <c r="H36">
        <f>VLOOKUP(H$21,$P$9:$S$12,3,FALSE)</f>
        <v>69</v>
      </c>
      <c r="K36">
        <f>VLOOKUP(K$21,$P$9:$S$12,3,FALSE)</f>
        <v>72</v>
      </c>
      <c r="N36">
        <f>VLOOKUP(N$21,$P$9:$S$12,3,FALSE)</f>
        <v>72</v>
      </c>
    </row>
    <row r="37" spans="3:25" ht="14.45" hidden="1" x14ac:dyDescent="0.5">
      <c r="C37" t="s">
        <v>46</v>
      </c>
      <c r="E37" t="s">
        <v>50</v>
      </c>
      <c r="F37">
        <f>VLOOKUP(F$21,$P$9:$S$12,4,FALSE)</f>
        <v>113</v>
      </c>
      <c r="H37">
        <f>VLOOKUP(H$21,$P$9:$S$12,4,FALSE)</f>
        <v>113</v>
      </c>
      <c r="K37">
        <f>VLOOKUP(K$21,$P$9:$S$12,4,FALSE)</f>
        <v>129</v>
      </c>
      <c r="N37">
        <f>VLOOKUP(N$21,$P$9:$S$12,4,FALSE)</f>
        <v>129</v>
      </c>
    </row>
    <row r="38" spans="3:25" ht="14.45" hidden="1" x14ac:dyDescent="0.5">
      <c r="C38" t="s">
        <v>47</v>
      </c>
    </row>
    <row r="39" spans="3:25" ht="14.45" hidden="1" x14ac:dyDescent="0.5">
      <c r="E39" t="s">
        <v>140</v>
      </c>
      <c r="F39" s="120">
        <f>(F34*F37/113)+(F35-F36)</f>
        <v>-0.7</v>
      </c>
      <c r="H39" s="120">
        <f>(H34*H37/113)+(H35-H36)</f>
        <v>-4.7</v>
      </c>
      <c r="K39" s="120">
        <f>(K34*K37/113)+(K35-K36)</f>
        <v>-1.4840707964601771</v>
      </c>
      <c r="N39" s="120">
        <f>(N34*N37/113)+(N35-N36)</f>
        <v>2.625663716814159</v>
      </c>
    </row>
    <row r="40" spans="3:25" ht="14.45" hidden="1" x14ac:dyDescent="0.5">
      <c r="E40" t="s">
        <v>141</v>
      </c>
      <c r="F40" s="120">
        <f>(IF(F34&lt;0,ROUND((F34/2)+0.05,1),ROUND(F34/2,1))*F37/113)+(F35-F36)</f>
        <v>-0.3</v>
      </c>
      <c r="H40" s="120">
        <f>(IF(H34&lt;0,ROUND((H34/2)+0.05,1),ROUND(H34/2,1))*H37/113)+(H35-H36)</f>
        <v>-2.2999999999999998</v>
      </c>
      <c r="K40" s="120">
        <f>(IF(K34&lt;0,ROUND((K34/2)+0.05,1),ROUND(K34/2,1))*K37/113)+(K35-K36)</f>
        <v>-0.68495575221238936</v>
      </c>
      <c r="N40" s="120">
        <f>(IF(N34&lt;0,ROUND((N34/2)+0.05,1),ROUND(N34/2,1))*N37/113)+(N35-N36)</f>
        <v>1.3699115044247787</v>
      </c>
    </row>
    <row r="41" spans="3:25" ht="14.45" hidden="1" x14ac:dyDescent="0.5">
      <c r="N41"/>
    </row>
    <row r="42" spans="3:25" ht="14.45" hidden="1" x14ac:dyDescent="0.5">
      <c r="E42" t="s">
        <v>142</v>
      </c>
      <c r="F42" s="120">
        <f>IF($J$5=18,F39,F40)</f>
        <v>-0.3</v>
      </c>
      <c r="H42" s="120">
        <f>IF($J$5=18,H39,H40)</f>
        <v>-2.2999999999999998</v>
      </c>
      <c r="K42" s="120">
        <f>IF($J$5=18,K39,K40)</f>
        <v>-0.68495575221238936</v>
      </c>
      <c r="N42" s="120">
        <f>IF($J$5=18,N39,N40)</f>
        <v>1.3699115044247787</v>
      </c>
      <c r="Y42" s="119"/>
    </row>
    <row r="43" spans="3:25" ht="14.45" hidden="1" x14ac:dyDescent="0.5">
      <c r="F43" s="120"/>
      <c r="H43" s="120"/>
      <c r="K43" s="120"/>
      <c r="N43" s="120"/>
      <c r="P43" s="35"/>
      <c r="Y43" s="119"/>
    </row>
    <row r="44" spans="3:25" ht="14.45" hidden="1" x14ac:dyDescent="0.5">
      <c r="F44" s="120">
        <f>IF(F42&lt;0,F42*-1,F42)</f>
        <v>0.3</v>
      </c>
      <c r="H44" s="120">
        <f>IF(H42&lt;0,H42*-1,H42)</f>
        <v>2.2999999999999998</v>
      </c>
      <c r="K44" s="120">
        <f>IF(K42&lt;0,K42*-1,K42)</f>
        <v>0.68495575221238936</v>
      </c>
      <c r="N44" s="120">
        <f>IF(N42&lt;0,N42*-1,N42)</f>
        <v>1.3699115044247787</v>
      </c>
      <c r="P44" s="35"/>
    </row>
    <row r="45" spans="3:25" ht="14.45" hidden="1" x14ac:dyDescent="0.5">
      <c r="E45" s="35" t="s">
        <v>146</v>
      </c>
      <c r="F45" s="91">
        <f>INT(F44)</f>
        <v>0</v>
      </c>
      <c r="H45" s="91">
        <f>INT(H44)</f>
        <v>2</v>
      </c>
      <c r="K45" s="91">
        <f>INT(K44)</f>
        <v>0</v>
      </c>
      <c r="N45" s="91">
        <f>INT(N44)</f>
        <v>1</v>
      </c>
      <c r="P45" s="35"/>
    </row>
    <row r="46" spans="3:25" ht="14.45" hidden="1" x14ac:dyDescent="0.5">
      <c r="E46" s="35" t="s">
        <v>147</v>
      </c>
      <c r="F46" s="120">
        <f>F44-F45</f>
        <v>0.3</v>
      </c>
      <c r="H46" s="120">
        <f>H44-H45</f>
        <v>0.29999999999999982</v>
      </c>
      <c r="K46" s="120">
        <f>K44-K45</f>
        <v>0.68495575221238936</v>
      </c>
      <c r="N46" s="120">
        <f>N44-N45</f>
        <v>0.36991150442477871</v>
      </c>
      <c r="P46" s="35"/>
    </row>
    <row r="47" spans="3:25" ht="14.45" hidden="1" x14ac:dyDescent="0.5">
      <c r="E47" s="35" t="s">
        <v>148</v>
      </c>
      <c r="F47" s="91">
        <f>IF(F42&lt;0,IF(F46&gt;0.5,1,0),"")</f>
        <v>0</v>
      </c>
      <c r="H47" s="75">
        <f>IF(H42&lt;0,IF(H46&gt;0.5,1,0),"")</f>
        <v>0</v>
      </c>
      <c r="K47" s="91">
        <f>IF(K42&lt;0,IF(K46&gt;0.5,1,0),"")</f>
        <v>1</v>
      </c>
      <c r="N47" s="91" t="str">
        <f>IF(N42&lt;0,IF(N46&gt;0.5,1,0),"")</f>
        <v/>
      </c>
      <c r="P47" s="35"/>
    </row>
    <row r="48" spans="3:25" ht="14.45" hidden="1" x14ac:dyDescent="0.5">
      <c r="E48" s="35" t="s">
        <v>149</v>
      </c>
      <c r="F48" s="91">
        <f>IF(F42&lt;0,F45+F47,"")</f>
        <v>0</v>
      </c>
      <c r="H48" s="91">
        <f>IF(H42&lt;0,H45+H47,"")</f>
        <v>2</v>
      </c>
      <c r="K48" s="91">
        <f>IF(K42&lt;0,K45+K47,"")</f>
        <v>1</v>
      </c>
      <c r="N48" s="91" t="str">
        <f>IF(N42&lt;0,N45+N47,"")</f>
        <v/>
      </c>
      <c r="P48" s="35"/>
    </row>
    <row r="49" spans="5:17" ht="14.45" hidden="1" x14ac:dyDescent="0.5">
      <c r="E49" s="35" t="s">
        <v>151</v>
      </c>
      <c r="F49">
        <f>IF(F42&lt;0,F48*-1,ROUND(F42,0))</f>
        <v>0</v>
      </c>
      <c r="H49">
        <f>IF(H42&lt;0,H48*-1,ROUND(H42,0))</f>
        <v>-2</v>
      </c>
      <c r="K49">
        <f>IF(K42&lt;0,K48*-1,ROUND(K42,0))</f>
        <v>-1</v>
      </c>
      <c r="N49">
        <f>IF(N42&lt;0,N48*-1,ROUND(N42,0))</f>
        <v>1</v>
      </c>
      <c r="P49" s="35" t="s">
        <v>44</v>
      </c>
      <c r="Q49">
        <f>F55</f>
        <v>0</v>
      </c>
    </row>
    <row r="50" spans="5:17" ht="14.45" hidden="1" x14ac:dyDescent="0.5">
      <c r="N50"/>
      <c r="P50" s="35" t="s">
        <v>41</v>
      </c>
      <c r="Q50">
        <f>H55</f>
        <v>-2</v>
      </c>
    </row>
    <row r="51" spans="5:17" ht="14.45" hidden="1" x14ac:dyDescent="0.5">
      <c r="E51" t="s">
        <v>51</v>
      </c>
      <c r="F51">
        <f>VLOOKUP(F$21,$P$9:$T$12,5,FALSE)</f>
        <v>0</v>
      </c>
      <c r="H51">
        <f>VLOOKUP(H$21,$P$9:$T$12,5,FALSE)</f>
        <v>0</v>
      </c>
      <c r="K51">
        <f>VLOOKUP(K$21,$P$9:$T$12,5,FALSE)</f>
        <v>3</v>
      </c>
      <c r="N51">
        <f>VLOOKUP(N$21,$P$9:$T$12,5,FALSE)</f>
        <v>3</v>
      </c>
      <c r="P51" s="35" t="s">
        <v>42</v>
      </c>
      <c r="Q51">
        <f>K55</f>
        <v>2</v>
      </c>
    </row>
    <row r="52" spans="5:17" ht="14.45" hidden="1" x14ac:dyDescent="0.5">
      <c r="N52"/>
      <c r="P52" s="35" t="s">
        <v>43</v>
      </c>
      <c r="Q52">
        <f>N55</f>
        <v>4</v>
      </c>
    </row>
    <row r="53" spans="5:17" ht="14.45" hidden="1" x14ac:dyDescent="0.5">
      <c r="N53"/>
      <c r="P53" s="35" t="s">
        <v>144</v>
      </c>
      <c r="Q53">
        <f>SMALL(Q43:Q52,1)</f>
        <v>-2</v>
      </c>
    </row>
    <row r="54" spans="5:17" ht="14.45" hidden="1" x14ac:dyDescent="0.5">
      <c r="N54"/>
    </row>
    <row r="55" spans="5:17" ht="14.45" hidden="1" x14ac:dyDescent="0.5">
      <c r="E55" t="s">
        <v>150</v>
      </c>
      <c r="F55">
        <f>F49+F51</f>
        <v>0</v>
      </c>
      <c r="H55">
        <f>H49+H51</f>
        <v>-2</v>
      </c>
      <c r="K55">
        <f>K49+K51</f>
        <v>2</v>
      </c>
      <c r="N55">
        <f>N49+N51</f>
        <v>4</v>
      </c>
    </row>
  </sheetData>
  <sheetProtection algorithmName="SHA-512" hashValue="9q7Ab+iiKIQKF5TELSkuR0FLqjCX1aW7ivjYPowiUcBsIOMMUlqPdnIxs6tfbCGyI+OOqb+njlbvLJlLXcNd/g==" saltValue="wxjF0jF1fjokyhHCBh5ITA==" spinCount="100000" sheet="1" selectLockedCells="1"/>
  <mergeCells count="13">
    <mergeCell ref="L29:M29"/>
    <mergeCell ref="C30:O30"/>
    <mergeCell ref="L16:M16"/>
    <mergeCell ref="L22:M22"/>
    <mergeCell ref="L24:M24"/>
    <mergeCell ref="L26:M26"/>
    <mergeCell ref="I27:J27"/>
    <mergeCell ref="M6:M9"/>
    <mergeCell ref="C2:D2"/>
    <mergeCell ref="C3:D3"/>
    <mergeCell ref="G3:H3"/>
    <mergeCell ref="C5:D5"/>
    <mergeCell ref="G5:H5"/>
  </mergeCells>
  <conditionalFormatting sqref="F23 H23 K23 N23">
    <cfRule type="expression" dxfId="43" priority="40">
      <formula>$G$3=#REF!</formula>
    </cfRule>
  </conditionalFormatting>
  <conditionalFormatting sqref="F26 H26 K26 N26">
    <cfRule type="expression" dxfId="42" priority="36">
      <formula>#REF!="M"</formula>
    </cfRule>
  </conditionalFormatting>
  <dataValidations count="2">
    <dataValidation type="list" allowBlank="1" showInputMessage="1" showErrorMessage="1" sqref="J5">
      <formula1>$C$33:$C$34</formula1>
    </dataValidation>
    <dataValidation type="list" allowBlank="1" showInputMessage="1" showErrorMessage="1" sqref="N21 F21 H21 K21">
      <formula1>$C$36:$C$38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AC73"/>
  <sheetViews>
    <sheetView workbookViewId="0">
      <selection activeCell="G5" sqref="G5:H5"/>
    </sheetView>
  </sheetViews>
  <sheetFormatPr defaultRowHeight="15" x14ac:dyDescent="0.25"/>
  <cols>
    <col min="2" max="2" width="4.42578125" customWidth="1"/>
    <col min="3" max="3" width="30.85546875" customWidth="1"/>
    <col min="5" max="5" width="13" customWidth="1"/>
    <col min="6" max="6" width="9.140625" bestFit="1" customWidth="1"/>
    <col min="7" max="7" width="17.5703125" customWidth="1"/>
    <col min="9" max="9" width="10.140625" customWidth="1"/>
    <col min="13" max="13" width="9" customWidth="1"/>
    <col min="14" max="15" width="9" style="1" customWidth="1"/>
    <col min="16" max="29" width="9" hidden="1" customWidth="1"/>
  </cols>
  <sheetData>
    <row r="1" spans="3:26" ht="14.65" thickBot="1" x14ac:dyDescent="0.55000000000000004"/>
    <row r="2" spans="3:26" ht="14.45" x14ac:dyDescent="0.5">
      <c r="C2" s="171" t="s">
        <v>22</v>
      </c>
      <c r="D2" s="172"/>
      <c r="E2" s="2"/>
      <c r="F2" s="2"/>
      <c r="G2" s="2"/>
      <c r="H2" s="2"/>
      <c r="I2" s="2"/>
      <c r="J2" s="2"/>
      <c r="K2" s="2"/>
      <c r="L2" s="2"/>
      <c r="M2" s="2"/>
      <c r="N2" s="57"/>
      <c r="O2" s="58"/>
    </row>
    <row r="3" spans="3:26" ht="22.35" customHeight="1" x14ac:dyDescent="0.5">
      <c r="C3" s="173" t="s">
        <v>23</v>
      </c>
      <c r="D3" s="174"/>
      <c r="E3" s="5"/>
      <c r="F3" s="30"/>
      <c r="G3" s="199"/>
      <c r="H3" s="199"/>
      <c r="I3" s="5"/>
      <c r="J3" s="5"/>
      <c r="K3" s="5"/>
      <c r="L3" s="5"/>
      <c r="M3" s="5"/>
      <c r="N3" s="8"/>
      <c r="O3" s="59"/>
    </row>
    <row r="4" spans="3:26" ht="14.45" x14ac:dyDescent="0.5">
      <c r="C4" s="52"/>
      <c r="D4" s="53"/>
      <c r="E4" s="5"/>
      <c r="F4" s="5"/>
      <c r="G4" s="5"/>
      <c r="H4" s="5"/>
      <c r="I4" s="5"/>
      <c r="J4" s="5"/>
      <c r="K4" s="5"/>
      <c r="L4" s="5"/>
      <c r="M4" s="5"/>
      <c r="N4" s="8"/>
      <c r="O4" s="59"/>
    </row>
    <row r="5" spans="3:26" ht="22.35" customHeight="1" x14ac:dyDescent="0.7">
      <c r="C5" s="193" t="s">
        <v>38</v>
      </c>
      <c r="D5" s="194"/>
      <c r="E5" s="31" t="s">
        <v>21</v>
      </c>
      <c r="F5" s="32"/>
      <c r="G5" s="209" t="s">
        <v>56</v>
      </c>
      <c r="H5" s="209"/>
      <c r="I5" s="5"/>
      <c r="J5" s="47">
        <v>9</v>
      </c>
      <c r="K5" s="101" t="s">
        <v>125</v>
      </c>
      <c r="L5" s="5"/>
      <c r="M5" s="47" t="s">
        <v>45</v>
      </c>
      <c r="N5" s="101" t="s">
        <v>124</v>
      </c>
      <c r="O5" s="59"/>
    </row>
    <row r="6" spans="3:26" x14ac:dyDescent="0.25">
      <c r="C6" s="4"/>
      <c r="D6" s="5"/>
      <c r="E6" s="5"/>
      <c r="F6" s="5"/>
      <c r="G6" s="5"/>
      <c r="H6" s="5"/>
      <c r="I6" s="5"/>
      <c r="J6" s="5"/>
      <c r="K6" s="5"/>
      <c r="L6" s="5"/>
      <c r="M6" s="198" t="s">
        <v>122</v>
      </c>
      <c r="N6" s="8"/>
      <c r="O6" s="59"/>
    </row>
    <row r="7" spans="3:26" x14ac:dyDescent="0.25">
      <c r="C7" s="4"/>
      <c r="D7" s="5"/>
      <c r="E7" s="5"/>
      <c r="F7" s="53" t="s">
        <v>35</v>
      </c>
      <c r="G7" s="8"/>
      <c r="H7" s="53" t="s">
        <v>36</v>
      </c>
      <c r="I7" s="8"/>
      <c r="J7" s="8"/>
      <c r="K7" s="53" t="s">
        <v>37</v>
      </c>
      <c r="L7" s="5"/>
      <c r="M7" s="198"/>
      <c r="N7" s="77"/>
      <c r="O7" s="78"/>
      <c r="Q7" s="1" t="s">
        <v>32</v>
      </c>
      <c r="R7" s="1" t="s">
        <v>34</v>
      </c>
      <c r="S7" s="1" t="s">
        <v>16</v>
      </c>
      <c r="U7" s="85"/>
      <c r="V7" s="85" t="s">
        <v>45</v>
      </c>
      <c r="W7" s="85"/>
      <c r="X7" s="85" t="s">
        <v>46</v>
      </c>
      <c r="Z7" s="85" t="s">
        <v>47</v>
      </c>
    </row>
    <row r="8" spans="3:26" x14ac:dyDescent="0.25">
      <c r="C8" s="4"/>
      <c r="D8" s="5"/>
      <c r="E8" s="5"/>
      <c r="F8" s="5"/>
      <c r="G8" s="5"/>
      <c r="H8" s="5"/>
      <c r="I8" s="5"/>
      <c r="J8" s="5"/>
      <c r="K8" s="5"/>
      <c r="L8" s="5"/>
      <c r="M8" s="198"/>
      <c r="N8" s="60"/>
      <c r="O8" s="78"/>
      <c r="Q8" s="1"/>
      <c r="R8" s="1"/>
      <c r="S8" s="1"/>
      <c r="U8" s="85"/>
      <c r="V8" s="85"/>
      <c r="W8" s="85"/>
      <c r="X8" s="85"/>
      <c r="Z8" s="85"/>
    </row>
    <row r="9" spans="3:26" ht="19.149999999999999" customHeight="1" x14ac:dyDescent="0.25">
      <c r="C9" s="105" t="s">
        <v>132</v>
      </c>
      <c r="D9" s="5"/>
      <c r="E9" s="7" t="s">
        <v>11</v>
      </c>
      <c r="F9" s="48">
        <v>34</v>
      </c>
      <c r="G9" s="7" t="s">
        <v>11</v>
      </c>
      <c r="H9" s="48">
        <v>70</v>
      </c>
      <c r="I9" s="5"/>
      <c r="J9" s="7" t="s">
        <v>11</v>
      </c>
      <c r="K9" s="48">
        <v>72</v>
      </c>
      <c r="L9" s="5"/>
      <c r="M9" s="198"/>
      <c r="N9" s="80"/>
      <c r="O9" s="78"/>
      <c r="Q9" s="1">
        <f>F9</f>
        <v>34</v>
      </c>
      <c r="R9" s="1">
        <f>F10</f>
        <v>37</v>
      </c>
      <c r="S9" s="1">
        <f>F12</f>
        <v>39</v>
      </c>
      <c r="U9" s="85" t="s">
        <v>16</v>
      </c>
      <c r="V9" s="95">
        <f>F9-F10</f>
        <v>-3</v>
      </c>
      <c r="W9" s="95"/>
      <c r="X9" s="95">
        <f>H9-H10</f>
        <v>-4</v>
      </c>
      <c r="Z9" s="95">
        <f>K9-K10</f>
        <v>0</v>
      </c>
    </row>
    <row r="10" spans="3:26" ht="19.149999999999999" customHeight="1" x14ac:dyDescent="0.5">
      <c r="C10" s="106" t="s">
        <v>133</v>
      </c>
      <c r="D10" s="5"/>
      <c r="E10" s="7" t="s">
        <v>0</v>
      </c>
      <c r="F10" s="47">
        <v>37</v>
      </c>
      <c r="G10" s="7" t="s">
        <v>0</v>
      </c>
      <c r="H10" s="47">
        <v>74</v>
      </c>
      <c r="I10" s="5"/>
      <c r="J10" s="7" t="s">
        <v>0</v>
      </c>
      <c r="K10" s="47">
        <v>72</v>
      </c>
      <c r="L10" s="5"/>
      <c r="M10" s="10"/>
      <c r="N10" s="81"/>
      <c r="O10" s="78"/>
      <c r="Q10" s="1">
        <f>H9</f>
        <v>70</v>
      </c>
      <c r="R10" s="1">
        <f>H10</f>
        <v>74</v>
      </c>
      <c r="S10" s="1">
        <f>H12</f>
        <v>40</v>
      </c>
      <c r="U10" s="85" t="s">
        <v>100</v>
      </c>
      <c r="V10" s="95">
        <f>TRUNC(V9)</f>
        <v>-3</v>
      </c>
      <c r="W10" s="85"/>
      <c r="X10" s="95">
        <f>TRUNC(X9)</f>
        <v>-4</v>
      </c>
      <c r="Z10" s="95">
        <f>TRUNC(Z9)</f>
        <v>0</v>
      </c>
    </row>
    <row r="11" spans="3:26" ht="19.149999999999999" customHeight="1" x14ac:dyDescent="0.5">
      <c r="C11" s="106" t="s">
        <v>134</v>
      </c>
      <c r="D11" s="5"/>
      <c r="E11" s="7" t="s">
        <v>12</v>
      </c>
      <c r="F11" s="47">
        <v>122</v>
      </c>
      <c r="G11" s="7" t="s">
        <v>12</v>
      </c>
      <c r="H11" s="47">
        <v>113</v>
      </c>
      <c r="I11" s="5"/>
      <c r="J11" s="7" t="s">
        <v>12</v>
      </c>
      <c r="K11" s="47">
        <v>129</v>
      </c>
      <c r="L11" s="5"/>
      <c r="M11" s="10"/>
      <c r="N11" s="81"/>
      <c r="O11" s="78"/>
      <c r="Q11" s="1">
        <f>K9</f>
        <v>72</v>
      </c>
      <c r="R11" s="1">
        <f>K10</f>
        <v>72</v>
      </c>
      <c r="S11" s="1">
        <f>K12</f>
        <v>36</v>
      </c>
      <c r="U11" s="85" t="s">
        <v>101</v>
      </c>
      <c r="V11" s="95">
        <f>V9-V10</f>
        <v>0</v>
      </c>
      <c r="W11" s="85"/>
      <c r="X11" s="95">
        <f>X9-X10</f>
        <v>0</v>
      </c>
      <c r="Z11" s="95">
        <f>Z9-Z10</f>
        <v>0</v>
      </c>
    </row>
    <row r="12" spans="3:26" ht="19.149999999999999" customHeight="1" x14ac:dyDescent="0.5">
      <c r="C12" s="106" t="s">
        <v>135</v>
      </c>
      <c r="D12" s="5"/>
      <c r="E12" s="10" t="s">
        <v>16</v>
      </c>
      <c r="F12" s="34">
        <f>IF(F9&gt;0,36-V12,0)</f>
        <v>39</v>
      </c>
      <c r="G12" s="10" t="s">
        <v>16</v>
      </c>
      <c r="H12" s="34">
        <f>IF(H9&gt;0,36-X12,0)</f>
        <v>40</v>
      </c>
      <c r="I12" s="60"/>
      <c r="J12" s="10" t="s">
        <v>16</v>
      </c>
      <c r="K12" s="34">
        <f>IF(K9&gt;0,36-Z12,0)</f>
        <v>36</v>
      </c>
      <c r="L12" s="86"/>
      <c r="M12" s="10"/>
      <c r="N12" s="34"/>
      <c r="O12" s="78"/>
      <c r="Q12" s="36">
        <f>N9</f>
        <v>0</v>
      </c>
      <c r="R12" s="1">
        <f>N10</f>
        <v>0</v>
      </c>
      <c r="S12" s="1">
        <f>N12</f>
        <v>0</v>
      </c>
      <c r="U12" s="85" t="s">
        <v>102</v>
      </c>
      <c r="V12" s="85">
        <f>IF(V9&lt;0,IF(V11&lt;-0.5,V10-1,V10),ROUND(V9,0))</f>
        <v>-3</v>
      </c>
      <c r="W12" s="85"/>
      <c r="X12" s="85">
        <f>IF(X9&lt;0,IF(X11&lt;-0.5,X10-1,X10),ROUND(X9,0))</f>
        <v>-4</v>
      </c>
      <c r="Z12" s="85">
        <f>IF(Z9&lt;0,IF(Z11&lt;-0.5,Z10-1,Z10),ROUND(Z9,0))</f>
        <v>0</v>
      </c>
    </row>
    <row r="13" spans="3:26" ht="19.149999999999999" customHeight="1" x14ac:dyDescent="0.5">
      <c r="C13" s="106" t="s">
        <v>136</v>
      </c>
      <c r="D13" s="5"/>
      <c r="E13" s="5"/>
      <c r="F13" s="5"/>
      <c r="G13" s="5"/>
      <c r="H13" s="5"/>
      <c r="I13" s="5"/>
      <c r="J13" s="5"/>
      <c r="K13" s="5"/>
      <c r="L13" s="5"/>
      <c r="M13" s="60"/>
      <c r="N13" s="60"/>
      <c r="O13" s="78"/>
      <c r="P13" s="35" t="s">
        <v>33</v>
      </c>
      <c r="Q13" s="1">
        <f>SMALL(Q9:Q12,COUNTIF($Q$9:$Q$12,0)+1)</f>
        <v>34</v>
      </c>
      <c r="R13" s="1">
        <f>SMALL(R9:R12,COUNTIF($R$9:$R$12,0)+1)</f>
        <v>37</v>
      </c>
      <c r="S13" s="1">
        <f>MAX(S9:S12)</f>
        <v>40</v>
      </c>
    </row>
    <row r="14" spans="3:26" ht="19.149999999999999" customHeight="1" x14ac:dyDescent="0.55000000000000004">
      <c r="C14" s="106" t="s">
        <v>137</v>
      </c>
      <c r="D14" s="5"/>
      <c r="E14" s="27" t="s">
        <v>13</v>
      </c>
      <c r="F14" s="61">
        <f>D38</f>
        <v>0</v>
      </c>
      <c r="G14" s="26"/>
      <c r="H14" s="61">
        <f>E38</f>
        <v>0</v>
      </c>
      <c r="I14" s="5"/>
      <c r="J14" s="5"/>
      <c r="K14" s="61">
        <f>F38</f>
        <v>0</v>
      </c>
      <c r="L14" s="5"/>
      <c r="M14" s="60"/>
      <c r="N14" s="79"/>
      <c r="O14" s="78"/>
    </row>
    <row r="15" spans="3:26" ht="14.45" x14ac:dyDescent="0.5">
      <c r="C15" s="4"/>
      <c r="D15" s="5"/>
      <c r="E15" s="7"/>
      <c r="F15" s="8"/>
      <c r="G15" s="5"/>
      <c r="H15" s="8"/>
      <c r="I15" s="5"/>
      <c r="J15" s="5"/>
      <c r="K15" s="5"/>
      <c r="L15" s="5"/>
      <c r="M15" s="5"/>
      <c r="N15" s="8"/>
      <c r="O15" s="59"/>
    </row>
    <row r="16" spans="3:26" ht="14.45" x14ac:dyDescent="0.5">
      <c r="C16" s="4"/>
      <c r="D16" s="5"/>
      <c r="E16" s="7"/>
      <c r="F16" s="8"/>
      <c r="G16" s="5"/>
      <c r="H16" s="8"/>
      <c r="I16" s="5"/>
      <c r="J16" s="5"/>
      <c r="K16" s="5"/>
      <c r="L16" s="5"/>
      <c r="M16" s="5"/>
      <c r="N16" s="8"/>
      <c r="O16" s="59"/>
    </row>
    <row r="17" spans="1:28" ht="14.45" x14ac:dyDescent="0.5">
      <c r="C17" s="4"/>
      <c r="D17" s="5"/>
      <c r="E17" s="5"/>
      <c r="F17" s="62" t="s">
        <v>44</v>
      </c>
      <c r="G17" s="63"/>
      <c r="H17" s="64" t="s">
        <v>41</v>
      </c>
      <c r="I17" s="53"/>
      <c r="J17" s="53"/>
      <c r="K17" s="62" t="s">
        <v>42</v>
      </c>
      <c r="L17" s="63"/>
      <c r="M17" s="63"/>
      <c r="N17" s="64" t="s">
        <v>43</v>
      </c>
      <c r="O17" s="59"/>
    </row>
    <row r="18" spans="1:28" ht="14.45" x14ac:dyDescent="0.5">
      <c r="C18" s="4"/>
      <c r="D18" s="18" t="s">
        <v>17</v>
      </c>
      <c r="E18" s="5"/>
      <c r="F18" s="5"/>
      <c r="G18" s="5"/>
      <c r="H18" s="5"/>
      <c r="I18" s="5"/>
      <c r="J18" s="5"/>
      <c r="K18" s="5"/>
      <c r="L18" s="5"/>
      <c r="M18" s="5"/>
      <c r="N18" s="8" t="s">
        <v>31</v>
      </c>
      <c r="O18" s="59"/>
    </row>
    <row r="19" spans="1:28" ht="14.45" x14ac:dyDescent="0.5">
      <c r="C19" s="4"/>
      <c r="D19" s="44"/>
      <c r="E19" s="7" t="s">
        <v>3</v>
      </c>
      <c r="F19" s="49">
        <v>19.5</v>
      </c>
      <c r="G19" s="5"/>
      <c r="H19" s="49">
        <v>12.3</v>
      </c>
      <c r="I19" s="5"/>
      <c r="J19" s="5"/>
      <c r="K19" s="49">
        <v>10.5</v>
      </c>
      <c r="L19" s="5"/>
      <c r="M19" s="5"/>
      <c r="N19" s="49">
        <v>5.2</v>
      </c>
      <c r="O19" s="59"/>
    </row>
    <row r="20" spans="1:28" ht="3.4" customHeight="1" x14ac:dyDescent="0.5">
      <c r="C20" s="9"/>
      <c r="D20" s="44"/>
      <c r="E20" s="5"/>
      <c r="F20" s="44"/>
      <c r="G20" s="5"/>
      <c r="H20" s="44"/>
      <c r="I20" s="5"/>
      <c r="J20" s="5"/>
      <c r="K20" s="44"/>
      <c r="L20" s="5"/>
      <c r="M20" s="5"/>
      <c r="N20" s="8"/>
      <c r="O20" s="59"/>
    </row>
    <row r="21" spans="1:28" ht="18" customHeight="1" x14ac:dyDescent="0.5">
      <c r="C21" s="9"/>
      <c r="D21" s="44"/>
      <c r="E21" s="5" t="s">
        <v>49</v>
      </c>
      <c r="F21" s="49" t="s">
        <v>45</v>
      </c>
      <c r="G21" s="5"/>
      <c r="H21" s="49" t="s">
        <v>45</v>
      </c>
      <c r="I21" s="5"/>
      <c r="J21" s="5"/>
      <c r="K21" s="49" t="s">
        <v>46</v>
      </c>
      <c r="L21" s="5"/>
      <c r="M21" s="5"/>
      <c r="N21" s="49" t="s">
        <v>46</v>
      </c>
      <c r="O21" s="59"/>
    </row>
    <row r="22" spans="1:28" ht="15.4" customHeight="1" x14ac:dyDescent="0.5">
      <c r="C22" s="9"/>
      <c r="D22" s="44"/>
      <c r="E22" s="5"/>
      <c r="F22" s="44"/>
      <c r="G22" s="65" t="s">
        <v>54</v>
      </c>
      <c r="H22" s="44"/>
      <c r="I22" s="5"/>
      <c r="J22" s="5"/>
      <c r="K22" s="44"/>
      <c r="L22" s="212" t="s">
        <v>54</v>
      </c>
      <c r="M22" s="213"/>
      <c r="N22" s="8"/>
      <c r="O22" s="59"/>
    </row>
    <row r="23" spans="1:28" ht="14.45" x14ac:dyDescent="0.5">
      <c r="C23" s="4"/>
      <c r="D23" s="41"/>
      <c r="E23" s="7" t="s">
        <v>18</v>
      </c>
      <c r="F23" s="126">
        <f>F53</f>
        <v>7.580530973451328</v>
      </c>
      <c r="G23" s="46"/>
      <c r="H23" s="126">
        <f>H53</f>
        <v>3.6938053097345129</v>
      </c>
      <c r="I23" s="46"/>
      <c r="J23" s="46"/>
      <c r="K23" s="126">
        <f>L53</f>
        <v>38.299999999999997</v>
      </c>
      <c r="L23" s="5"/>
      <c r="M23" s="5"/>
      <c r="N23" s="126">
        <f>O53</f>
        <v>35.6</v>
      </c>
      <c r="O23" s="59"/>
    </row>
    <row r="24" spans="1:28" ht="14.45" x14ac:dyDescent="0.5">
      <c r="C24" s="4"/>
      <c r="D24" s="66"/>
      <c r="E24" s="7" t="s">
        <v>4</v>
      </c>
      <c r="F24" s="127">
        <f>F23*P39</f>
        <v>3.0322123893805313</v>
      </c>
      <c r="G24" s="127">
        <f>IF(I38="Y",F24+H24,IF(G5="Foursomes Matchplay",(F23+H23),(F23+H23)/2))</f>
        <v>5.6371681415929205</v>
      </c>
      <c r="H24" s="127">
        <f>H23*P40</f>
        <v>2.2162831858407075</v>
      </c>
      <c r="I24" s="41"/>
      <c r="J24" s="41"/>
      <c r="K24" s="127">
        <f>K23*P41</f>
        <v>15.32</v>
      </c>
      <c r="L24" s="210">
        <f>IF(I38="Y",K24+N24,IF(G5="Foursomes Matchplay",(K23+N23),(K23+N23)/2))</f>
        <v>36.950000000000003</v>
      </c>
      <c r="M24" s="210"/>
      <c r="N24" s="127">
        <f>N23*P42</f>
        <v>21.36</v>
      </c>
      <c r="O24" s="59"/>
    </row>
    <row r="25" spans="1:28" ht="14.45" x14ac:dyDescent="0.5">
      <c r="C25" s="4"/>
      <c r="D25" s="41"/>
      <c r="E25" s="10" t="s">
        <v>13</v>
      </c>
      <c r="F25" s="99">
        <f>O39</f>
        <v>0</v>
      </c>
      <c r="G25" s="99">
        <f>(F25+H25)/2</f>
        <v>0</v>
      </c>
      <c r="H25" s="99">
        <f>O40</f>
        <v>0</v>
      </c>
      <c r="I25" s="100"/>
      <c r="J25" s="100"/>
      <c r="K25" s="99">
        <f>O41</f>
        <v>0</v>
      </c>
      <c r="L25" s="207">
        <f>(K25+N25)/2</f>
        <v>0</v>
      </c>
      <c r="M25" s="207"/>
      <c r="N25" s="99">
        <f>O42</f>
        <v>0</v>
      </c>
      <c r="O25" s="59"/>
    </row>
    <row r="26" spans="1:28" ht="15.75" x14ac:dyDescent="0.55000000000000004">
      <c r="C26" s="9"/>
      <c r="D26" s="5"/>
      <c r="E26" s="5"/>
      <c r="F26" s="8"/>
      <c r="G26" s="8"/>
      <c r="H26" s="8"/>
      <c r="I26" s="208" t="s">
        <v>139</v>
      </c>
      <c r="J26" s="208"/>
      <c r="K26" s="8"/>
      <c r="L26" s="5"/>
      <c r="M26" s="5"/>
      <c r="N26" s="8"/>
      <c r="O26" s="59"/>
    </row>
    <row r="27" spans="1:28" ht="18" x14ac:dyDescent="0.6">
      <c r="C27" s="24"/>
      <c r="D27" s="25"/>
      <c r="E27" s="24" t="s">
        <v>66</v>
      </c>
      <c r="F27" s="67"/>
      <c r="G27" s="107">
        <f>G60</f>
        <v>6</v>
      </c>
      <c r="H27" s="67"/>
      <c r="I27" s="214">
        <f>IF(G27&gt;L27,G27-L27,L27-G27)</f>
        <v>31</v>
      </c>
      <c r="J27" s="214"/>
      <c r="K27" s="67"/>
      <c r="L27" s="211">
        <f>M60</f>
        <v>37</v>
      </c>
      <c r="M27" s="211"/>
      <c r="N27" s="67"/>
      <c r="O27" s="59"/>
      <c r="AB27" s="98"/>
    </row>
    <row r="28" spans="1:28" ht="14.45" x14ac:dyDescent="0.5">
      <c r="C28" s="4"/>
      <c r="D28" s="5"/>
      <c r="E28" s="5"/>
      <c r="F28" s="60" t="s">
        <v>61</v>
      </c>
      <c r="G28" s="60" t="str">
        <f>IF(ISNUMBER(SEARCH("Medal",G5)),"Y","N")</f>
        <v>Y</v>
      </c>
      <c r="H28" s="60"/>
      <c r="I28" s="60"/>
      <c r="J28" s="60"/>
      <c r="K28" s="60"/>
      <c r="L28" s="60" t="str">
        <f>IF(ISNUMBER(SEARCH("Medal",G5)),"Y","N")</f>
        <v>Y</v>
      </c>
      <c r="M28" s="5"/>
      <c r="N28" s="8"/>
      <c r="O28" s="59"/>
    </row>
    <row r="29" spans="1:28" ht="18" x14ac:dyDescent="0.6">
      <c r="C29" s="4"/>
      <c r="D29" s="5"/>
      <c r="E29" s="69" t="s">
        <v>138</v>
      </c>
      <c r="F29" s="5"/>
      <c r="G29" s="108" t="str">
        <f>IF(G5="Foursomes Matchplay",IF(G27&gt;L27,ROUND(I27/2,0),""),IF(G27&gt;L27,I27,""))</f>
        <v/>
      </c>
      <c r="H29" s="5"/>
      <c r="I29" s="5"/>
      <c r="J29" s="5"/>
      <c r="K29" s="5"/>
      <c r="L29" s="215">
        <f>IF(G5="Foursomes Matchplay",IF(L27&gt;G27,ROUND(I27/2,0),0),IF(L27&gt;G27,I27,0))</f>
        <v>31</v>
      </c>
      <c r="M29" s="215"/>
      <c r="N29" s="8"/>
      <c r="O29" s="59"/>
      <c r="X29" s="51"/>
    </row>
    <row r="30" spans="1:28" ht="23.25" customHeight="1" thickBot="1" x14ac:dyDescent="0.3">
      <c r="C30" s="202" t="s">
        <v>120</v>
      </c>
      <c r="D30" s="203"/>
      <c r="E30" s="203"/>
      <c r="F30" s="203"/>
      <c r="G30" s="203"/>
      <c r="H30" s="203"/>
      <c r="I30" s="203"/>
      <c r="J30" s="203"/>
      <c r="K30" s="203"/>
      <c r="L30" s="203"/>
      <c r="M30" s="203"/>
      <c r="N30" s="203"/>
      <c r="O30" s="204"/>
    </row>
    <row r="31" spans="1:28" ht="14.45" hidden="1" x14ac:dyDescent="0.5">
      <c r="D31" s="1" t="s">
        <v>40</v>
      </c>
      <c r="E31" s="1" t="s">
        <v>36</v>
      </c>
      <c r="F31" s="1" t="s">
        <v>37</v>
      </c>
      <c r="G31" s="1" t="s">
        <v>39</v>
      </c>
      <c r="H31" t="s">
        <v>4</v>
      </c>
      <c r="I31" s="1" t="s">
        <v>55</v>
      </c>
      <c r="J31" s="1"/>
      <c r="L31" s="1" t="s">
        <v>32</v>
      </c>
      <c r="M31" s="1" t="s">
        <v>34</v>
      </c>
      <c r="N31" s="1" t="s">
        <v>50</v>
      </c>
      <c r="O31" s="1" t="s">
        <v>51</v>
      </c>
      <c r="P31" s="1" t="s">
        <v>52</v>
      </c>
      <c r="Q31" s="1"/>
    </row>
    <row r="32" spans="1:28" ht="14.45" hidden="1" x14ac:dyDescent="0.5">
      <c r="A32">
        <v>1</v>
      </c>
      <c r="C32" t="s">
        <v>56</v>
      </c>
      <c r="D32" s="1">
        <v>0</v>
      </c>
      <c r="E32" s="1">
        <v>0</v>
      </c>
      <c r="F32" s="36">
        <v>0</v>
      </c>
      <c r="G32" s="36">
        <f>IF($N$9&gt;$Q$13,$N$9-$Q$13,0)</f>
        <v>0</v>
      </c>
      <c r="H32">
        <v>0.95</v>
      </c>
      <c r="I32" t="s">
        <v>62</v>
      </c>
      <c r="J32" t="s">
        <v>76</v>
      </c>
      <c r="K32" t="s">
        <v>45</v>
      </c>
      <c r="L32">
        <f>F9</f>
        <v>34</v>
      </c>
      <c r="M32">
        <f>F10</f>
        <v>37</v>
      </c>
      <c r="N32">
        <f>F11</f>
        <v>122</v>
      </c>
      <c r="O32">
        <f>F14</f>
        <v>0</v>
      </c>
      <c r="P32" s="1"/>
      <c r="Q32" s="1"/>
    </row>
    <row r="33" spans="1:17" ht="14.45" hidden="1" x14ac:dyDescent="0.5">
      <c r="A33">
        <v>2</v>
      </c>
      <c r="C33" t="s">
        <v>60</v>
      </c>
      <c r="D33" s="1">
        <v>0</v>
      </c>
      <c r="E33" s="1">
        <v>0</v>
      </c>
      <c r="F33" s="36">
        <v>0</v>
      </c>
      <c r="G33" s="36">
        <f>IF($N$9&gt;$Q$13,$N$9-$Q$13,0)</f>
        <v>0</v>
      </c>
      <c r="H33">
        <v>1</v>
      </c>
      <c r="I33" t="s">
        <v>63</v>
      </c>
      <c r="J33" t="s">
        <v>76</v>
      </c>
      <c r="K33" t="s">
        <v>46</v>
      </c>
      <c r="L33">
        <f>H9</f>
        <v>70</v>
      </c>
      <c r="M33">
        <f>H10</f>
        <v>74</v>
      </c>
      <c r="N33">
        <f>H11</f>
        <v>113</v>
      </c>
      <c r="O33">
        <f>H14</f>
        <v>0</v>
      </c>
      <c r="P33" s="1"/>
      <c r="Q33" s="1"/>
    </row>
    <row r="34" spans="1:17" ht="14.45" hidden="1" x14ac:dyDescent="0.5">
      <c r="A34">
        <v>3</v>
      </c>
      <c r="C34" t="s">
        <v>57</v>
      </c>
      <c r="D34" s="1">
        <v>0</v>
      </c>
      <c r="E34" s="1">
        <v>0</v>
      </c>
      <c r="F34" s="1">
        <v>0</v>
      </c>
      <c r="G34" s="1">
        <f>IF(J5=9,0,IF($N$12&gt;0,IF($N$12&lt;$S$13,$S$13-$N$12,0),0))</f>
        <v>0</v>
      </c>
      <c r="H34">
        <v>0.95</v>
      </c>
      <c r="I34" t="s">
        <v>62</v>
      </c>
      <c r="J34" t="s">
        <v>77</v>
      </c>
      <c r="K34" t="s">
        <v>47</v>
      </c>
      <c r="L34" s="50">
        <f>K9</f>
        <v>72</v>
      </c>
      <c r="M34">
        <f>K10</f>
        <v>72</v>
      </c>
      <c r="N34">
        <f>K11</f>
        <v>129</v>
      </c>
      <c r="O34">
        <f>K14</f>
        <v>0</v>
      </c>
      <c r="P34" s="1"/>
      <c r="Q34" s="1"/>
    </row>
    <row r="35" spans="1:17" ht="14.45" hidden="1" x14ac:dyDescent="0.5">
      <c r="A35">
        <v>4</v>
      </c>
      <c r="C35" t="s">
        <v>59</v>
      </c>
      <c r="D35" s="1">
        <v>0</v>
      </c>
      <c r="E35" s="1">
        <v>0</v>
      </c>
      <c r="F35" s="1">
        <v>0</v>
      </c>
      <c r="G35" s="1">
        <f>IF(J5=9,0,IF($N$12&gt;0,IF($N$12&lt;$S$13,$S$13-$N$12,0),0))</f>
        <v>0</v>
      </c>
      <c r="H35">
        <v>1</v>
      </c>
      <c r="I35" t="s">
        <v>63</v>
      </c>
      <c r="J35" t="s">
        <v>77</v>
      </c>
      <c r="K35" t="s">
        <v>48</v>
      </c>
      <c r="L35" s="50">
        <f>N9</f>
        <v>0</v>
      </c>
      <c r="M35">
        <f>N10</f>
        <v>0</v>
      </c>
      <c r="N35">
        <f>N11</f>
        <v>0</v>
      </c>
      <c r="O35">
        <f>N14</f>
        <v>0</v>
      </c>
      <c r="P35" s="1"/>
      <c r="Q35" s="1"/>
    </row>
    <row r="36" spans="1:17" ht="14.45" hidden="1" x14ac:dyDescent="0.5">
      <c r="A36">
        <v>5</v>
      </c>
      <c r="C36" t="s">
        <v>74</v>
      </c>
      <c r="D36" s="1">
        <v>0</v>
      </c>
      <c r="E36" s="1">
        <v>0</v>
      </c>
      <c r="F36" s="36">
        <v>0</v>
      </c>
      <c r="G36" s="36">
        <f>IF($N$9&gt;$Q$13,$N$9-$Q$13,0)</f>
        <v>0</v>
      </c>
      <c r="H36">
        <v>0.95</v>
      </c>
      <c r="I36" t="s">
        <v>62</v>
      </c>
      <c r="J36" t="s">
        <v>78</v>
      </c>
      <c r="K36" t="s">
        <v>119</v>
      </c>
      <c r="L36" s="50"/>
      <c r="M36">
        <f>VLOOKUP(M5,K32:O35,3,FALSE)</f>
        <v>37</v>
      </c>
      <c r="N36"/>
      <c r="O36"/>
      <c r="P36" s="1"/>
      <c r="Q36" s="1"/>
    </row>
    <row r="37" spans="1:17" ht="14.45" hidden="1" x14ac:dyDescent="0.5">
      <c r="A37">
        <v>6</v>
      </c>
      <c r="C37" t="s">
        <v>75</v>
      </c>
      <c r="D37" s="1">
        <v>0</v>
      </c>
      <c r="E37" s="1">
        <v>0</v>
      </c>
      <c r="F37" s="36">
        <v>0</v>
      </c>
      <c r="G37" s="36">
        <f>IF($N$9&gt;$Q$13,$N$9-$Q$13,0)</f>
        <v>0</v>
      </c>
      <c r="H37">
        <v>1</v>
      </c>
      <c r="I37" t="s">
        <v>63</v>
      </c>
      <c r="J37" t="s">
        <v>78</v>
      </c>
      <c r="L37" s="50"/>
      <c r="N37"/>
      <c r="O37"/>
      <c r="P37" s="1"/>
      <c r="Q37" s="1"/>
    </row>
    <row r="38" spans="1:17" ht="14.45" hidden="1" x14ac:dyDescent="0.5">
      <c r="D38" s="1">
        <f>VLOOKUP(G5,C32:D37,2,FALSE)</f>
        <v>0</v>
      </c>
      <c r="E38" s="1">
        <f>VLOOKUP(G5,C32:E37,3,FALSE)</f>
        <v>0</v>
      </c>
      <c r="F38" s="1">
        <f>VLOOKUP(G5,C32:F37,4,FALSE)</f>
        <v>0</v>
      </c>
      <c r="G38" s="1">
        <f>VLOOKUP(G5,C32:G37,5,FALSE)</f>
        <v>0</v>
      </c>
      <c r="H38">
        <f>VLOOKUP(G5,C32:H37,6,FALSE)</f>
        <v>0.95</v>
      </c>
      <c r="I38" t="str">
        <f>VLOOKUP(G5,C32:I37,7,FALSE)</f>
        <v>N</v>
      </c>
      <c r="J38" t="str">
        <f>VLOOKUP(G5,C32:J37,8,FALSE)</f>
        <v>M</v>
      </c>
      <c r="L38" s="35" t="s">
        <v>50</v>
      </c>
      <c r="M38" s="35" t="s">
        <v>32</v>
      </c>
      <c r="N38" s="35" t="s">
        <v>34</v>
      </c>
      <c r="O38"/>
      <c r="P38" s="1"/>
      <c r="Q38" s="1"/>
    </row>
    <row r="39" spans="1:17" ht="14.45" hidden="1" x14ac:dyDescent="0.5">
      <c r="K39" t="s">
        <v>44</v>
      </c>
      <c r="L39">
        <f>VLOOKUP(F21,K32:N35,4,FALSE)</f>
        <v>122</v>
      </c>
      <c r="M39">
        <f>VLOOKUP(F21,K32:N35,2,FALSE)</f>
        <v>34</v>
      </c>
      <c r="N39">
        <f>VLOOKUP(F21,K32:N35,3,FALSE)</f>
        <v>37</v>
      </c>
      <c r="O39">
        <f>VLOOKUP(F21,K32:O35,5,FALSE)</f>
        <v>0</v>
      </c>
      <c r="P39" s="1">
        <f>IF(F23&lt;=H23,0.6,0.4)</f>
        <v>0.4</v>
      </c>
      <c r="Q39" s="1"/>
    </row>
    <row r="40" spans="1:17" ht="14.45" hidden="1" x14ac:dyDescent="0.5">
      <c r="C40" t="s">
        <v>26</v>
      </c>
      <c r="K40" t="s">
        <v>41</v>
      </c>
      <c r="L40">
        <f>VLOOKUP(H21,K32:N35,4,FALSE)</f>
        <v>122</v>
      </c>
      <c r="M40">
        <f>VLOOKUP(H21,K32:N35,2,FALSE)</f>
        <v>34</v>
      </c>
      <c r="N40">
        <f>VLOOKUP(H21,K32:N35,3,FALSE)</f>
        <v>37</v>
      </c>
      <c r="O40">
        <f>VLOOKUP(H21,K32:O35,5,FALSE)</f>
        <v>0</v>
      </c>
      <c r="P40" s="1">
        <f>IF(H23&lt;F23,0.6,0.4)</f>
        <v>0.6</v>
      </c>
      <c r="Q40" s="1"/>
    </row>
    <row r="41" spans="1:17" ht="14.45" hidden="1" x14ac:dyDescent="0.5">
      <c r="C41" t="s">
        <v>27</v>
      </c>
      <c r="K41" t="s">
        <v>42</v>
      </c>
      <c r="L41">
        <f>VLOOKUP(K21,K32:N35,4,FALSE)</f>
        <v>113</v>
      </c>
      <c r="M41">
        <f>VLOOKUP(K21,K32:N35,2,FALSE)</f>
        <v>70</v>
      </c>
      <c r="N41">
        <f>VLOOKUP(K21,K32:N35,3,FALSE)</f>
        <v>74</v>
      </c>
      <c r="O41">
        <f>VLOOKUP(K21,K32:O35,5,FALSE)</f>
        <v>0</v>
      </c>
      <c r="P41" s="1">
        <f>IF(K23&lt;=N23,0.6,0.4)</f>
        <v>0.4</v>
      </c>
      <c r="Q41" s="1"/>
    </row>
    <row r="42" spans="1:17" ht="14.45" hidden="1" x14ac:dyDescent="0.5">
      <c r="C42" t="s">
        <v>28</v>
      </c>
      <c r="K42" t="s">
        <v>43</v>
      </c>
      <c r="L42">
        <f>VLOOKUP(N21,K32:N35,4,FALSE)</f>
        <v>113</v>
      </c>
      <c r="M42">
        <f>VLOOKUP(N21,K32:N35,2,FALSE)</f>
        <v>70</v>
      </c>
      <c r="N42">
        <f>VLOOKUP(N21,K32:N35,3,FALSE)</f>
        <v>74</v>
      </c>
      <c r="O42">
        <f>VLOOKUP(N21,K32:O35,5,FALSE)</f>
        <v>0</v>
      </c>
      <c r="P42" s="1">
        <f>IF(N23&lt;K23,0.6,0.4)</f>
        <v>0.6</v>
      </c>
      <c r="Q42" s="1"/>
    </row>
    <row r="43" spans="1:17" ht="14.45" hidden="1" x14ac:dyDescent="0.5">
      <c r="C43" t="s">
        <v>29</v>
      </c>
      <c r="N43"/>
      <c r="O43"/>
      <c r="P43" s="1"/>
      <c r="Q43" s="1"/>
    </row>
    <row r="44" spans="1:17" ht="14.45" hidden="1" x14ac:dyDescent="0.5">
      <c r="N44"/>
      <c r="P44" s="1"/>
    </row>
    <row r="45" spans="1:17" ht="14.45" hidden="1" x14ac:dyDescent="0.5">
      <c r="C45" t="s">
        <v>45</v>
      </c>
      <c r="K45" t="s">
        <v>53</v>
      </c>
      <c r="N45"/>
      <c r="P45" s="1"/>
    </row>
    <row r="46" spans="1:17" ht="14.45" hidden="1" x14ac:dyDescent="0.5">
      <c r="C46" t="s">
        <v>46</v>
      </c>
      <c r="N46"/>
      <c r="P46" s="1"/>
    </row>
    <row r="47" spans="1:17" ht="14.45" hidden="1" x14ac:dyDescent="0.5">
      <c r="C47" t="s">
        <v>47</v>
      </c>
      <c r="F47" t="s">
        <v>72</v>
      </c>
      <c r="H47" t="s">
        <v>72</v>
      </c>
      <c r="L47" t="s">
        <v>72</v>
      </c>
      <c r="N47"/>
      <c r="O47" t="s">
        <v>72</v>
      </c>
      <c r="P47" s="1"/>
    </row>
    <row r="48" spans="1:17" ht="14.45" hidden="1" x14ac:dyDescent="0.5">
      <c r="N48"/>
      <c r="O48"/>
      <c r="P48" s="1"/>
    </row>
    <row r="49" spans="3:16" ht="12.4" hidden="1" customHeight="1" x14ac:dyDescent="0.5">
      <c r="C49">
        <v>18</v>
      </c>
      <c r="F49" s="120">
        <f>IF(J5=18,F63,F64)</f>
        <v>7.580530973451328</v>
      </c>
      <c r="H49" s="120">
        <f>IF(J5=18,H63,H64)</f>
        <v>3.6938053097345129</v>
      </c>
      <c r="L49" s="120">
        <f>IF(J5=18,L63,L64)</f>
        <v>38.299999999999997</v>
      </c>
      <c r="N49" s="50"/>
      <c r="O49" s="128">
        <f>IF(J5=18,O63,O64)</f>
        <v>35.6</v>
      </c>
      <c r="P49" s="1"/>
    </row>
    <row r="50" spans="3:16" ht="14.45" hidden="1" x14ac:dyDescent="0.5">
      <c r="C50">
        <v>9</v>
      </c>
      <c r="F50" s="120">
        <f>IF(F49&lt;0,F49*-1,F49)</f>
        <v>7.580530973451328</v>
      </c>
      <c r="H50" s="120">
        <f>IF(H49&lt;0,H49*-1,H49)</f>
        <v>3.6938053097345129</v>
      </c>
      <c r="L50" s="120">
        <f>IF(L49&lt;0,L49*-1,L49)</f>
        <v>38.299999999999997</v>
      </c>
      <c r="N50" s="75"/>
      <c r="O50" s="128">
        <f>IF(O49&lt;0,O49*-1,O49)</f>
        <v>35.6</v>
      </c>
      <c r="P50" s="1"/>
    </row>
    <row r="51" spans="3:16" ht="14.45" hidden="1" x14ac:dyDescent="0.5">
      <c r="F51" s="120">
        <f>IF(F50-INT(F50)=0.5,IF(F49&lt;0,F49+0.001,F49),F49)</f>
        <v>7.580530973451328</v>
      </c>
      <c r="H51" s="120">
        <f>IF(H50-INT(H50)=0.5,IF(H49&lt;0,H49+0.001,H49),H49)</f>
        <v>3.6938053097345129</v>
      </c>
      <c r="L51" s="120">
        <f>IF(L50-INT(L50)=0.5,IF(L49&lt;0,L49+0.001,L49),L49)</f>
        <v>38.299999999999997</v>
      </c>
      <c r="N51" s="75"/>
      <c r="O51" s="128">
        <f>IF(O50-INT(O50)=0.5,IF(O49&lt;0,O49+0.001,O49),O49)</f>
        <v>35.6</v>
      </c>
      <c r="P51" s="1"/>
    </row>
    <row r="52" spans="3:16" ht="14.45" hidden="1" x14ac:dyDescent="0.5">
      <c r="F52">
        <f>ROUND(F51,0)</f>
        <v>8</v>
      </c>
      <c r="H52">
        <f>ROUND(H51,0)</f>
        <v>4</v>
      </c>
      <c r="L52">
        <f>ROUND(L51,0)</f>
        <v>38</v>
      </c>
      <c r="N52"/>
      <c r="O52" s="129">
        <f>ROUND(O51,0)</f>
        <v>36</v>
      </c>
      <c r="P52" s="1"/>
    </row>
    <row r="53" spans="3:16" ht="14.45" hidden="1" x14ac:dyDescent="0.5">
      <c r="C53" t="s">
        <v>152</v>
      </c>
      <c r="D53" t="str">
        <f>IF(VLOOKUP(G5,C54:D59,2,FALSE)&gt;4,"Yes","No")</f>
        <v>No</v>
      </c>
      <c r="F53" s="120">
        <f>IF($G$5=$C$36,F52,F49)</f>
        <v>7.580530973451328</v>
      </c>
      <c r="H53" s="120">
        <f>IF($G$5=$C$36,H52,H49)</f>
        <v>3.6938053097345129</v>
      </c>
      <c r="L53" s="120">
        <f>IF($G$5=$C$36,L52,L49)</f>
        <v>38.299999999999997</v>
      </c>
      <c r="N53" s="75"/>
      <c r="O53" s="128">
        <f>IF($G$5=$C$36,O52,O49)</f>
        <v>35.6</v>
      </c>
      <c r="P53" s="1"/>
    </row>
    <row r="54" spans="3:16" ht="14.45" hidden="1" x14ac:dyDescent="0.5">
      <c r="C54" t="s">
        <v>56</v>
      </c>
      <c r="D54">
        <v>1</v>
      </c>
      <c r="N54"/>
      <c r="P54" s="1"/>
    </row>
    <row r="55" spans="3:16" ht="14.45" hidden="1" x14ac:dyDescent="0.5">
      <c r="C55" t="s">
        <v>60</v>
      </c>
      <c r="D55">
        <v>2</v>
      </c>
      <c r="G55" t="s">
        <v>19</v>
      </c>
      <c r="M55" t="s">
        <v>19</v>
      </c>
      <c r="N55"/>
      <c r="P55" s="1"/>
    </row>
    <row r="56" spans="3:16" ht="14.45" hidden="1" x14ac:dyDescent="0.5">
      <c r="C56" t="s">
        <v>57</v>
      </c>
      <c r="D56">
        <v>3</v>
      </c>
      <c r="N56"/>
      <c r="P56" s="1"/>
    </row>
    <row r="57" spans="3:16" ht="14.45" hidden="1" x14ac:dyDescent="0.5">
      <c r="C57" t="s">
        <v>59</v>
      </c>
      <c r="D57">
        <v>4</v>
      </c>
      <c r="G57" s="75">
        <f>G24+G25</f>
        <v>5.6371681415929205</v>
      </c>
      <c r="M57" s="75">
        <f>L24+L25</f>
        <v>36.950000000000003</v>
      </c>
      <c r="N57"/>
      <c r="P57" s="1"/>
    </row>
    <row r="58" spans="3:16" ht="14.45" hidden="1" x14ac:dyDescent="0.5">
      <c r="C58" t="s">
        <v>74</v>
      </c>
      <c r="D58">
        <v>5</v>
      </c>
      <c r="G58" s="75">
        <f>IF(G57&lt;0,ROUND(G57*-1,3),ROUND(G57,3))</f>
        <v>5.6369999999999996</v>
      </c>
      <c r="M58" s="75">
        <f>IF(M57&lt;0,ROUND(M57*-1,3),ROUND(M57,3))</f>
        <v>36.950000000000003</v>
      </c>
      <c r="N58"/>
      <c r="P58" s="1"/>
    </row>
    <row r="59" spans="3:16" ht="14.45" hidden="1" x14ac:dyDescent="0.5">
      <c r="C59" t="s">
        <v>75</v>
      </c>
      <c r="D59">
        <v>6</v>
      </c>
      <c r="G59" s="75">
        <f>IF(G58-INT(G58)=0.5,IF(G57&lt;0,G57+0.001,G57),G57)</f>
        <v>5.6371681415929205</v>
      </c>
      <c r="M59" s="75">
        <f>IF(M58-INT(M58)=0.5,IF(M57&lt;0,M57+0.001,M57),M57)</f>
        <v>36.950000000000003</v>
      </c>
      <c r="N59"/>
      <c r="P59" s="1"/>
    </row>
    <row r="60" spans="3:16" ht="14.45" hidden="1" x14ac:dyDescent="0.5">
      <c r="G60">
        <f>IF(J38="M",ROUND(G59,0),ROUND(G59,0))</f>
        <v>6</v>
      </c>
      <c r="M60">
        <f>IF(J38="M",ROUND(M59,0),ROUND(M59,0))</f>
        <v>37</v>
      </c>
      <c r="N60"/>
      <c r="P60" s="1"/>
    </row>
    <row r="61" spans="3:16" ht="14.45" hidden="1" x14ac:dyDescent="0.5">
      <c r="F61" t="s">
        <v>44</v>
      </c>
      <c r="H61" t="s">
        <v>41</v>
      </c>
      <c r="L61" t="s">
        <v>42</v>
      </c>
      <c r="O61" s="1" t="s">
        <v>43</v>
      </c>
    </row>
    <row r="62" spans="3:16" ht="14.45" hidden="1" x14ac:dyDescent="0.5">
      <c r="C62" t="s">
        <v>106</v>
      </c>
    </row>
    <row r="63" spans="3:16" ht="14.45" hidden="1" x14ac:dyDescent="0.5">
      <c r="C63" t="s">
        <v>107</v>
      </c>
      <c r="E63" t="s">
        <v>111</v>
      </c>
      <c r="F63">
        <f>(F19*L39/113)+(M39-M36)</f>
        <v>18.053097345132745</v>
      </c>
      <c r="H63">
        <f>(H19*L40/113)+(M40-M36)</f>
        <v>10.279646017699116</v>
      </c>
      <c r="L63">
        <f>(K19*L41/113)+(M41-M36)</f>
        <v>43.5</v>
      </c>
      <c r="O63" s="1">
        <f>(N19*L42/113)+(M42-M36)</f>
        <v>38.200000000000003</v>
      </c>
    </row>
    <row r="64" spans="3:16" ht="14.45" hidden="1" x14ac:dyDescent="0.5">
      <c r="C64" t="s">
        <v>108</v>
      </c>
      <c r="E64" t="s">
        <v>112</v>
      </c>
      <c r="F64" s="50">
        <f>(IF(F19&lt;0,ROUND((F19/2)+0.05,1),ROUND(F19/2,1))*L39/113)+(M39-M36)</f>
        <v>7.580530973451328</v>
      </c>
      <c r="H64">
        <f>(IF(H19&lt;0,ROUND((H19/2)+0.05,1),ROUND(H19/2,1))*L40/113)+(M40-M36)</f>
        <v>3.6938053097345129</v>
      </c>
      <c r="L64">
        <f>(IF(K19&lt;0,ROUND((K19/2)+0.05,1),ROUND(K19/2,1))*L41/113)+(M41-M36)</f>
        <v>38.299999999999997</v>
      </c>
      <c r="O64" s="1">
        <f>(IF(N19&lt;0,ROUND((N19/2)+0.05,1),ROUND(N19/2,1))*L42/113)+(M42-M36)</f>
        <v>35.6</v>
      </c>
    </row>
    <row r="65" spans="3:8" ht="14.45" hidden="1" x14ac:dyDescent="0.5">
      <c r="C65" t="s">
        <v>109</v>
      </c>
    </row>
    <row r="66" spans="3:8" ht="14.45" hidden="1" x14ac:dyDescent="0.5">
      <c r="C66" t="s">
        <v>110</v>
      </c>
    </row>
    <row r="73" spans="3:8" x14ac:dyDescent="0.25">
      <c r="H73" s="76"/>
    </row>
  </sheetData>
  <sheetProtection algorithmName="SHA-512" hashValue="2wUOmoMhzcl7uVbMiOYJdvoSenBQ2fhJl7j2WQOqluiZuyELxvTV+5uidAdR2hYgQCIsgU6h7wBrSpgoFcyZEg==" saltValue="ZuY8WlbzEFWzsmnsOgp2mw==" spinCount="100000" sheet="1" selectLockedCells="1"/>
  <mergeCells count="14">
    <mergeCell ref="C30:O30"/>
    <mergeCell ref="C2:D2"/>
    <mergeCell ref="C3:D3"/>
    <mergeCell ref="G3:H3"/>
    <mergeCell ref="G5:H5"/>
    <mergeCell ref="C5:D5"/>
    <mergeCell ref="M6:M9"/>
    <mergeCell ref="L25:M25"/>
    <mergeCell ref="L24:M24"/>
    <mergeCell ref="L27:M27"/>
    <mergeCell ref="L22:M22"/>
    <mergeCell ref="I26:J26"/>
    <mergeCell ref="I27:J27"/>
    <mergeCell ref="L29:M29"/>
  </mergeCells>
  <conditionalFormatting sqref="C9:C14">
    <cfRule type="expression" dxfId="41" priority="18">
      <formula>$G$5&lt;&gt;"Foursomes Matchplay"</formula>
    </cfRule>
  </conditionalFormatting>
  <conditionalFormatting sqref="E29">
    <cfRule type="expression" dxfId="40" priority="14">
      <formula>$D$53&lt;&gt;"Yes"</formula>
    </cfRule>
  </conditionalFormatting>
  <conditionalFormatting sqref="F23">
    <cfRule type="expression" dxfId="39" priority="11">
      <formula>$G$5="Foursomes Matchplay"</formula>
    </cfRule>
    <cfRule type="expression" dxfId="38" priority="35">
      <formula>$G$3=$C$43</formula>
    </cfRule>
  </conditionalFormatting>
  <conditionalFormatting sqref="F24">
    <cfRule type="expression" dxfId="37" priority="30">
      <formula>$G$5="Foursomes Matchplay"</formula>
    </cfRule>
    <cfRule type="expression" dxfId="36" priority="42">
      <formula>$G$5="Foursomes Stableford"</formula>
    </cfRule>
    <cfRule type="expression" dxfId="35" priority="44">
      <formula>$G$5="Foursomes Medal"</formula>
    </cfRule>
  </conditionalFormatting>
  <conditionalFormatting sqref="G24">
    <cfRule type="expression" dxfId="34" priority="3">
      <formula>$G$5="Foursomes Matchplay"</formula>
    </cfRule>
    <cfRule type="expression" dxfId="33" priority="4">
      <formula>$G$3=$C$43</formula>
    </cfRule>
  </conditionalFormatting>
  <conditionalFormatting sqref="G27">
    <cfRule type="expression" dxfId="32" priority="20">
      <formula>$J$38="M"</formula>
    </cfRule>
  </conditionalFormatting>
  <conditionalFormatting sqref="G29">
    <cfRule type="expression" dxfId="31" priority="13">
      <formula>$D$53&lt;&gt;"Yes"</formula>
    </cfRule>
  </conditionalFormatting>
  <conditionalFormatting sqref="H23">
    <cfRule type="expression" dxfId="30" priority="9">
      <formula>$G$5="Foursomes Matchplay"</formula>
    </cfRule>
    <cfRule type="expression" dxfId="29" priority="10">
      <formula>$G$3=$C$43</formula>
    </cfRule>
  </conditionalFormatting>
  <conditionalFormatting sqref="H24">
    <cfRule type="expression" dxfId="28" priority="27">
      <formula>$G$5="Foursomes Matchplay"</formula>
    </cfRule>
    <cfRule type="expression" dxfId="27" priority="28">
      <formula>$G$5="Foursomes Stableford"</formula>
    </cfRule>
    <cfRule type="expression" dxfId="26" priority="29">
      <formula>$G$5="Foursomes Medal"</formula>
    </cfRule>
  </conditionalFormatting>
  <conditionalFormatting sqref="I26:J26">
    <cfRule type="expression" dxfId="25" priority="17">
      <formula>$D$53&lt;&gt;"Yes"</formula>
    </cfRule>
  </conditionalFormatting>
  <conditionalFormatting sqref="I27:J27">
    <cfRule type="expression" dxfId="24" priority="16">
      <formula>$D$53&lt;&gt;"Yes"</formula>
    </cfRule>
  </conditionalFormatting>
  <conditionalFormatting sqref="K23">
    <cfRule type="expression" dxfId="23" priority="7">
      <formula>$G$5="Foursomes Matchplay"</formula>
    </cfRule>
    <cfRule type="expression" dxfId="22" priority="8">
      <formula>$G$3=$C$43</formula>
    </cfRule>
  </conditionalFormatting>
  <conditionalFormatting sqref="K24">
    <cfRule type="expression" dxfId="21" priority="24">
      <formula>$G$5="Foursomes Matchplay"</formula>
    </cfRule>
    <cfRule type="expression" dxfId="20" priority="25">
      <formula>$G$5="Foursomes Stableford"</formula>
    </cfRule>
    <cfRule type="expression" dxfId="19" priority="26">
      <formula>$G$5="Foursomes Medal"</formula>
    </cfRule>
  </conditionalFormatting>
  <conditionalFormatting sqref="L24">
    <cfRule type="expression" dxfId="18" priority="1">
      <formula>$G$5="Foursomes Matchplay"</formula>
    </cfRule>
    <cfRule type="expression" dxfId="17" priority="2">
      <formula>$G$3=$C$43</formula>
    </cfRule>
  </conditionalFormatting>
  <conditionalFormatting sqref="L27">
    <cfRule type="expression" dxfId="16" priority="19">
      <formula>$J$38="M"</formula>
    </cfRule>
  </conditionalFormatting>
  <conditionalFormatting sqref="L29:M29">
    <cfRule type="expression" dxfId="15" priority="12">
      <formula>$D$53&lt;&gt;"Yes"</formula>
    </cfRule>
  </conditionalFormatting>
  <conditionalFormatting sqref="N23">
    <cfRule type="expression" dxfId="14" priority="5">
      <formula>$G$5="Foursomes Matchplay"</formula>
    </cfRule>
    <cfRule type="expression" dxfId="13" priority="6">
      <formula>$G$3=$C$43</formula>
    </cfRule>
  </conditionalFormatting>
  <conditionalFormatting sqref="N24">
    <cfRule type="expression" dxfId="12" priority="21">
      <formula>$G$5="Foursomes Matchplay"</formula>
    </cfRule>
    <cfRule type="expression" dxfId="11" priority="22">
      <formula>$G$5="Foursomes Stableford"</formula>
    </cfRule>
    <cfRule type="expression" dxfId="10" priority="23">
      <formula>$G$5="Foursomes Medal"</formula>
    </cfRule>
  </conditionalFormatting>
  <dataValidations count="3">
    <dataValidation type="list" allowBlank="1" showInputMessage="1" showErrorMessage="1" sqref="N21 F21 H21 K21 M5">
      <formula1>$C$45:$C$47</formula1>
    </dataValidation>
    <dataValidation type="list" allowBlank="1" showInputMessage="1" showErrorMessage="1" sqref="G5:H5">
      <formula1>$C$32:$C$37</formula1>
    </dataValidation>
    <dataValidation type="list" allowBlank="1" showInputMessage="1" showErrorMessage="1" sqref="J5">
      <formula1>$C$49:$C$50</formula1>
    </dataValidation>
  </dataValidations>
  <pageMargins left="0.7" right="0.7" top="0.75" bottom="0.75" header="0.3" footer="0.3"/>
  <pageSetup paperSize="9" orientation="portrait" horizontalDpi="360" verticalDpi="36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D55"/>
  <sheetViews>
    <sheetView workbookViewId="0">
      <selection activeCell="G5" sqref="G5:H5"/>
    </sheetView>
  </sheetViews>
  <sheetFormatPr defaultRowHeight="15" x14ac:dyDescent="0.25"/>
  <cols>
    <col min="2" max="2" width="4.42578125" customWidth="1"/>
    <col min="3" max="3" width="22.7109375" bestFit="1" customWidth="1"/>
    <col min="5" max="5" width="13" customWidth="1"/>
    <col min="7" max="7" width="17.5703125" customWidth="1"/>
    <col min="9" max="9" width="10.140625" customWidth="1"/>
    <col min="14" max="15" width="9" style="1"/>
    <col min="16" max="30" width="9" hidden="1" customWidth="1"/>
    <col min="31" max="31" width="9" customWidth="1"/>
  </cols>
  <sheetData>
    <row r="1" spans="3:26" ht="14.65" thickBot="1" x14ac:dyDescent="0.55000000000000004"/>
    <row r="2" spans="3:26" ht="14.45" x14ac:dyDescent="0.5">
      <c r="C2" s="171" t="s">
        <v>22</v>
      </c>
      <c r="D2" s="172"/>
      <c r="E2" s="2"/>
      <c r="F2" s="2"/>
      <c r="G2" s="2"/>
      <c r="H2" s="2"/>
      <c r="I2" s="2"/>
      <c r="J2" s="2"/>
      <c r="K2" s="2"/>
      <c r="L2" s="2"/>
      <c r="M2" s="2"/>
      <c r="N2" s="57"/>
      <c r="O2" s="58"/>
    </row>
    <row r="3" spans="3:26" ht="22.35" customHeight="1" x14ac:dyDescent="0.5">
      <c r="C3" s="173" t="s">
        <v>23</v>
      </c>
      <c r="D3" s="174"/>
      <c r="E3" s="5"/>
      <c r="F3" s="30"/>
      <c r="G3" s="199"/>
      <c r="H3" s="199"/>
      <c r="I3" s="5"/>
      <c r="J3" s="5"/>
      <c r="K3" s="5"/>
      <c r="L3" s="5"/>
      <c r="M3" s="5"/>
      <c r="N3" s="8"/>
      <c r="O3" s="59"/>
    </row>
    <row r="4" spans="3:26" ht="14.45" x14ac:dyDescent="0.5">
      <c r="C4" s="52"/>
      <c r="D4" s="53"/>
      <c r="E4" s="5"/>
      <c r="F4" s="5"/>
      <c r="G4" s="5"/>
      <c r="H4" s="5"/>
      <c r="I4" s="5"/>
      <c r="J4" s="5"/>
      <c r="K4" s="5"/>
      <c r="L4" s="5"/>
      <c r="M4" s="5"/>
      <c r="N4" s="8"/>
      <c r="O4" s="59"/>
    </row>
    <row r="5" spans="3:26" ht="22.35" customHeight="1" x14ac:dyDescent="0.7">
      <c r="C5" s="193" t="s">
        <v>38</v>
      </c>
      <c r="D5" s="194"/>
      <c r="E5" s="31" t="s">
        <v>21</v>
      </c>
      <c r="F5" s="32"/>
      <c r="G5" s="209" t="s">
        <v>64</v>
      </c>
      <c r="H5" s="209"/>
      <c r="I5" s="5"/>
      <c r="J5" s="47">
        <v>9</v>
      </c>
      <c r="K5" s="101" t="s">
        <v>123</v>
      </c>
      <c r="L5" s="5"/>
      <c r="M5" s="47" t="s">
        <v>45</v>
      </c>
      <c r="N5" s="96" t="s">
        <v>124</v>
      </c>
      <c r="O5" s="59"/>
    </row>
    <row r="6" spans="3:26" ht="14.25" customHeight="1" x14ac:dyDescent="0.25">
      <c r="C6" s="4"/>
      <c r="D6" s="5"/>
      <c r="E6" s="5"/>
      <c r="F6" s="5"/>
      <c r="G6" s="5"/>
      <c r="H6" s="5"/>
      <c r="I6" s="5"/>
      <c r="J6" s="5"/>
      <c r="K6" s="5"/>
      <c r="L6" s="5"/>
      <c r="M6" s="198" t="s">
        <v>122</v>
      </c>
      <c r="N6" s="8"/>
      <c r="O6" s="59"/>
    </row>
    <row r="7" spans="3:26" x14ac:dyDescent="0.25">
      <c r="C7" s="4"/>
      <c r="D7" s="5"/>
      <c r="E7" s="5"/>
      <c r="F7" s="53" t="s">
        <v>35</v>
      </c>
      <c r="G7" s="8"/>
      <c r="H7" s="53" t="s">
        <v>36</v>
      </c>
      <c r="I7" s="8"/>
      <c r="J7" s="8"/>
      <c r="K7" s="53" t="s">
        <v>37</v>
      </c>
      <c r="L7" s="5"/>
      <c r="M7" s="198"/>
      <c r="N7" s="53"/>
      <c r="O7" s="59"/>
      <c r="Q7" s="1" t="s">
        <v>32</v>
      </c>
      <c r="R7" s="1" t="s">
        <v>34</v>
      </c>
      <c r="S7" s="1" t="s">
        <v>16</v>
      </c>
      <c r="U7" s="85"/>
      <c r="V7" s="85" t="s">
        <v>45</v>
      </c>
      <c r="W7" s="85"/>
      <c r="X7" s="85" t="s">
        <v>46</v>
      </c>
      <c r="Z7" s="85" t="s">
        <v>47</v>
      </c>
    </row>
    <row r="8" spans="3:26" x14ac:dyDescent="0.25">
      <c r="C8" s="4"/>
      <c r="D8" s="5"/>
      <c r="E8" s="5"/>
      <c r="F8" s="5"/>
      <c r="G8" s="5"/>
      <c r="H8" s="5"/>
      <c r="I8" s="5"/>
      <c r="J8" s="5"/>
      <c r="K8" s="5"/>
      <c r="L8" s="5"/>
      <c r="M8" s="198"/>
      <c r="N8" s="5"/>
      <c r="O8" s="59"/>
      <c r="Q8" s="1"/>
      <c r="R8" s="1"/>
      <c r="S8" s="1"/>
      <c r="U8" s="85"/>
      <c r="V8" s="85"/>
      <c r="W8" s="85"/>
      <c r="X8" s="85"/>
      <c r="Z8" s="85"/>
    </row>
    <row r="9" spans="3:26" ht="20.100000000000001" customHeight="1" x14ac:dyDescent="0.25">
      <c r="C9" s="4"/>
      <c r="D9" s="5"/>
      <c r="E9" s="7" t="s">
        <v>11</v>
      </c>
      <c r="F9" s="48">
        <v>34</v>
      </c>
      <c r="G9" s="7" t="s">
        <v>11</v>
      </c>
      <c r="H9" s="48">
        <v>34</v>
      </c>
      <c r="I9" s="5"/>
      <c r="J9" s="7" t="s">
        <v>11</v>
      </c>
      <c r="K9" s="48">
        <v>73.099999999999994</v>
      </c>
      <c r="L9" s="5"/>
      <c r="M9" s="198"/>
      <c r="N9" s="73"/>
      <c r="O9" s="59"/>
      <c r="Q9" s="1">
        <f>F9</f>
        <v>34</v>
      </c>
      <c r="R9" s="1">
        <f>F10</f>
        <v>37</v>
      </c>
      <c r="S9" s="1">
        <f>F12</f>
        <v>39</v>
      </c>
      <c r="U9" s="85" t="s">
        <v>16</v>
      </c>
      <c r="V9" s="95">
        <f>F9-F10</f>
        <v>-3</v>
      </c>
      <c r="W9" s="95"/>
      <c r="X9" s="95">
        <f>H9-H10</f>
        <v>-35</v>
      </c>
      <c r="Z9" s="95">
        <f>K9-K10</f>
        <v>9.9999999999994316E-2</v>
      </c>
    </row>
    <row r="10" spans="3:26" ht="20.100000000000001" customHeight="1" x14ac:dyDescent="0.5">
      <c r="C10" s="4"/>
      <c r="D10" s="5"/>
      <c r="E10" s="7" t="s">
        <v>0</v>
      </c>
      <c r="F10" s="47">
        <v>37</v>
      </c>
      <c r="G10" s="7" t="s">
        <v>0</v>
      </c>
      <c r="H10" s="47">
        <v>69</v>
      </c>
      <c r="I10" s="5"/>
      <c r="J10" s="7" t="s">
        <v>0</v>
      </c>
      <c r="K10" s="47">
        <v>73</v>
      </c>
      <c r="L10" s="5"/>
      <c r="M10" s="7"/>
      <c r="N10" s="74"/>
      <c r="O10" s="59"/>
      <c r="Q10" s="1">
        <f>H9</f>
        <v>34</v>
      </c>
      <c r="R10" s="1">
        <f>H10</f>
        <v>69</v>
      </c>
      <c r="S10" s="1">
        <f>H12</f>
        <v>71</v>
      </c>
      <c r="U10" s="85" t="s">
        <v>100</v>
      </c>
      <c r="V10" s="95">
        <f>TRUNC(V9)</f>
        <v>-3</v>
      </c>
      <c r="W10" s="85"/>
      <c r="X10" s="95">
        <f>TRUNC(X9)</f>
        <v>-35</v>
      </c>
      <c r="Z10" s="95">
        <f>TRUNC(Z9)</f>
        <v>0</v>
      </c>
    </row>
    <row r="11" spans="3:26" ht="20.100000000000001" customHeight="1" x14ac:dyDescent="0.5">
      <c r="C11" s="4"/>
      <c r="D11" s="5"/>
      <c r="E11" s="7" t="s">
        <v>12</v>
      </c>
      <c r="F11" s="47">
        <v>122</v>
      </c>
      <c r="G11" s="7" t="s">
        <v>12</v>
      </c>
      <c r="H11" s="47">
        <v>122</v>
      </c>
      <c r="I11" s="5"/>
      <c r="J11" s="7" t="s">
        <v>12</v>
      </c>
      <c r="K11" s="47">
        <v>133</v>
      </c>
      <c r="L11" s="5"/>
      <c r="M11" s="7"/>
      <c r="N11" s="74"/>
      <c r="O11" s="59"/>
      <c r="Q11" s="1">
        <f>K9</f>
        <v>73.099999999999994</v>
      </c>
      <c r="R11" s="1">
        <f>K10</f>
        <v>73</v>
      </c>
      <c r="S11" s="1">
        <f>K12</f>
        <v>36</v>
      </c>
      <c r="U11" s="85" t="s">
        <v>101</v>
      </c>
      <c r="V11" s="95">
        <f>V9-V10</f>
        <v>0</v>
      </c>
      <c r="W11" s="85"/>
      <c r="X11" s="95">
        <f>X9-X10</f>
        <v>0</v>
      </c>
      <c r="Z11" s="95">
        <f>Z9-Z10</f>
        <v>9.9999999999994316E-2</v>
      </c>
    </row>
    <row r="12" spans="3:26" ht="14.45" x14ac:dyDescent="0.5">
      <c r="C12" s="4"/>
      <c r="D12" s="5"/>
      <c r="E12" s="10" t="s">
        <v>16</v>
      </c>
      <c r="F12" s="34">
        <f>IF(F9&gt;0,36-V12,0)</f>
        <v>39</v>
      </c>
      <c r="G12" s="10" t="s">
        <v>16</v>
      </c>
      <c r="H12" s="34">
        <f>IF(H9&gt;0,36-X12,0)</f>
        <v>71</v>
      </c>
      <c r="I12" s="60"/>
      <c r="J12" s="10" t="s">
        <v>16</v>
      </c>
      <c r="K12" s="34">
        <f>IF(K9&gt;0,36-Z12,0)</f>
        <v>36</v>
      </c>
      <c r="L12" s="60"/>
      <c r="M12" s="10"/>
      <c r="N12" s="34"/>
      <c r="O12" s="59"/>
      <c r="Q12" s="36">
        <f>N9</f>
        <v>0</v>
      </c>
      <c r="R12" s="1">
        <f>N10</f>
        <v>0</v>
      </c>
      <c r="S12" s="1">
        <f>N12</f>
        <v>0</v>
      </c>
      <c r="U12" s="85" t="s">
        <v>102</v>
      </c>
      <c r="V12" s="85">
        <f>IF(V9&lt;0,IF(V11&lt;-0.5,V10-1,V10),ROUND(V9,0))</f>
        <v>-3</v>
      </c>
      <c r="W12" s="85"/>
      <c r="X12" s="85">
        <f>IF(X9&lt;0,IF(X11&lt;-0.5,X10-1,X10),ROUND(X9,0))</f>
        <v>-35</v>
      </c>
      <c r="Z12" s="85">
        <f>IF(Z9&lt;0,IF(Z11&lt;-0.5,Z10-1,Z10),ROUND(Z9,0))</f>
        <v>0</v>
      </c>
    </row>
    <row r="13" spans="3:26" ht="10.5" customHeight="1" x14ac:dyDescent="0.5">
      <c r="C13" s="4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9"/>
      <c r="P13" s="35" t="s">
        <v>33</v>
      </c>
      <c r="Q13" s="1">
        <f>SMALL(Q9:Q12,COUNTIF($Q$9:$Q$12,0)+1)</f>
        <v>34</v>
      </c>
      <c r="R13" s="1">
        <f>SMALL(R9:R12,COUNTIF($R$9:$R$12,0)+1)</f>
        <v>37</v>
      </c>
      <c r="S13" s="1">
        <f>MAX(S9:S12)</f>
        <v>71</v>
      </c>
    </row>
    <row r="14" spans="3:26" ht="15.75" x14ac:dyDescent="0.55000000000000004">
      <c r="C14" s="4"/>
      <c r="D14" s="5"/>
      <c r="E14" s="27" t="s">
        <v>13</v>
      </c>
      <c r="F14" s="61">
        <f>D36</f>
        <v>0</v>
      </c>
      <c r="G14" s="26"/>
      <c r="H14" s="61">
        <f>E36</f>
        <v>0</v>
      </c>
      <c r="I14" s="5"/>
      <c r="J14" s="5"/>
      <c r="K14" s="61">
        <f>F36</f>
        <v>0</v>
      </c>
      <c r="L14" s="5"/>
      <c r="M14" s="5"/>
      <c r="N14" s="67"/>
      <c r="O14" s="59"/>
    </row>
    <row r="15" spans="3:26" ht="14.45" x14ac:dyDescent="0.5">
      <c r="C15" s="4"/>
      <c r="D15" s="5"/>
      <c r="E15" s="7"/>
      <c r="F15" s="8"/>
      <c r="G15" s="5"/>
      <c r="H15" s="8"/>
      <c r="I15" s="5"/>
      <c r="J15" s="5"/>
      <c r="K15" s="5"/>
      <c r="L15" s="5"/>
      <c r="M15" s="5"/>
      <c r="N15" s="8"/>
      <c r="O15" s="59"/>
    </row>
    <row r="16" spans="3:26" ht="14.45" x14ac:dyDescent="0.5">
      <c r="C16" s="4"/>
      <c r="D16" s="5"/>
      <c r="E16" s="7"/>
      <c r="F16" s="8"/>
      <c r="G16" s="5"/>
      <c r="H16" s="8"/>
      <c r="I16" s="5"/>
      <c r="J16" s="5"/>
      <c r="K16" s="5"/>
      <c r="L16" s="5"/>
      <c r="M16" s="5"/>
      <c r="N16" s="8"/>
      <c r="O16" s="59"/>
      <c r="X16">
        <v>0.42499999999999999</v>
      </c>
    </row>
    <row r="17" spans="1:30" ht="14.45" x14ac:dyDescent="0.5">
      <c r="C17" s="4"/>
      <c r="D17" s="5"/>
      <c r="E17" s="5"/>
      <c r="F17" s="53" t="s">
        <v>44</v>
      </c>
      <c r="G17" s="53"/>
      <c r="H17" s="53" t="s">
        <v>41</v>
      </c>
      <c r="I17" s="53"/>
      <c r="J17" s="53"/>
      <c r="K17" s="53" t="s">
        <v>42</v>
      </c>
      <c r="L17" s="53"/>
      <c r="M17" s="53"/>
      <c r="N17" s="53" t="s">
        <v>43</v>
      </c>
      <c r="O17" s="59"/>
      <c r="X17">
        <f>ROUND(X16,2)</f>
        <v>0.43</v>
      </c>
    </row>
    <row r="18" spans="1:30" ht="14.45" x14ac:dyDescent="0.5">
      <c r="C18" s="4"/>
      <c r="D18" s="18" t="s">
        <v>17</v>
      </c>
      <c r="E18" s="5"/>
      <c r="F18" s="5"/>
      <c r="G18" s="5"/>
      <c r="H18" s="5"/>
      <c r="I18" s="5"/>
      <c r="J18" s="5"/>
      <c r="K18" s="5"/>
      <c r="L18" s="5"/>
      <c r="M18" s="5"/>
      <c r="N18" s="8" t="s">
        <v>31</v>
      </c>
      <c r="O18" s="59"/>
    </row>
    <row r="19" spans="1:30" ht="14.45" x14ac:dyDescent="0.5">
      <c r="C19" s="4"/>
      <c r="D19" s="44"/>
      <c r="E19" s="7" t="s">
        <v>3</v>
      </c>
      <c r="F19" s="49">
        <v>19.5</v>
      </c>
      <c r="G19" s="5"/>
      <c r="H19" s="49">
        <v>19.5</v>
      </c>
      <c r="I19" s="5"/>
      <c r="J19" s="5"/>
      <c r="K19" s="49">
        <v>21.3</v>
      </c>
      <c r="L19" s="5"/>
      <c r="M19" s="5"/>
      <c r="N19" s="49">
        <v>0</v>
      </c>
      <c r="O19" s="59"/>
    </row>
    <row r="20" spans="1:30" ht="3.4" customHeight="1" x14ac:dyDescent="0.5">
      <c r="C20" s="9"/>
      <c r="D20" s="44"/>
      <c r="E20" s="5"/>
      <c r="F20" s="44"/>
      <c r="G20" s="5"/>
      <c r="H20" s="44"/>
      <c r="I20" s="5"/>
      <c r="J20" s="5"/>
      <c r="K20" s="44"/>
      <c r="L20" s="5"/>
      <c r="M20" s="5"/>
      <c r="N20" s="8"/>
      <c r="O20" s="59"/>
    </row>
    <row r="21" spans="1:30" ht="18" customHeight="1" x14ac:dyDescent="0.5">
      <c r="C21" s="9"/>
      <c r="D21" s="44"/>
      <c r="E21" s="5" t="s">
        <v>49</v>
      </c>
      <c r="F21" s="49" t="s">
        <v>45</v>
      </c>
      <c r="G21" s="5"/>
      <c r="H21" s="49" t="s">
        <v>45</v>
      </c>
      <c r="I21" s="5"/>
      <c r="J21" s="5"/>
      <c r="K21" s="49" t="s">
        <v>47</v>
      </c>
      <c r="L21" s="5"/>
      <c r="M21" s="5"/>
      <c r="N21" s="49" t="s">
        <v>45</v>
      </c>
      <c r="O21" s="59"/>
      <c r="R21" t="s">
        <v>68</v>
      </c>
      <c r="S21" t="s">
        <v>69</v>
      </c>
      <c r="T21" t="s">
        <v>98</v>
      </c>
    </row>
    <row r="22" spans="1:30" ht="15.4" customHeight="1" x14ac:dyDescent="0.5">
      <c r="C22" s="9"/>
      <c r="D22" s="44"/>
      <c r="E22" s="5"/>
      <c r="F22" s="44"/>
      <c r="G22" s="53"/>
      <c r="H22" s="44"/>
      <c r="I22" s="5"/>
      <c r="J22" s="5"/>
      <c r="K22" s="44"/>
      <c r="L22" s="18"/>
      <c r="M22" s="18"/>
      <c r="N22" s="8"/>
      <c r="O22" s="59"/>
      <c r="Q22" t="s">
        <v>44</v>
      </c>
      <c r="R22">
        <f>F23</f>
        <v>7.580530973451328</v>
      </c>
      <c r="S22">
        <f>F23</f>
        <v>7.580530973451328</v>
      </c>
      <c r="T22" s="102">
        <f>F23</f>
        <v>7.580530973451328</v>
      </c>
    </row>
    <row r="23" spans="1:30" ht="14.45" x14ac:dyDescent="0.5">
      <c r="C23" s="4"/>
      <c r="D23" s="41"/>
      <c r="E23" s="7" t="s">
        <v>18</v>
      </c>
      <c r="F23" s="126">
        <f>E47</f>
        <v>7.580530973451328</v>
      </c>
      <c r="G23" s="46"/>
      <c r="H23" s="126">
        <f>E48</f>
        <v>7.580530973451328</v>
      </c>
      <c r="I23" s="46"/>
      <c r="J23" s="46"/>
      <c r="K23" s="149">
        <f>E49</f>
        <v>48.693805309734508</v>
      </c>
      <c r="L23" s="5"/>
      <c r="M23" s="5"/>
      <c r="N23" s="149">
        <f>E50</f>
        <v>-3</v>
      </c>
      <c r="O23" s="59"/>
      <c r="Q23" t="s">
        <v>41</v>
      </c>
      <c r="R23">
        <f>H23</f>
        <v>7.580530973451328</v>
      </c>
      <c r="S23">
        <f>H23</f>
        <v>7.580530973451328</v>
      </c>
      <c r="T23" s="102">
        <f>H23</f>
        <v>7.580530973451328</v>
      </c>
    </row>
    <row r="24" spans="1:30" ht="14.45" x14ac:dyDescent="0.5">
      <c r="C24" s="4"/>
      <c r="D24" s="66"/>
      <c r="E24" s="7" t="s">
        <v>4</v>
      </c>
      <c r="F24" s="127">
        <f>F23*O37</f>
        <v>1.5161061946902656</v>
      </c>
      <c r="G24" s="83">
        <f>O37</f>
        <v>0.2</v>
      </c>
      <c r="H24" s="127">
        <f>H23*O38</f>
        <v>1.1370796460176991</v>
      </c>
      <c r="I24" s="83">
        <f>O38</f>
        <v>0.15</v>
      </c>
      <c r="J24" s="72"/>
      <c r="K24" s="150">
        <f>K23*O39</f>
        <v>4.8693805309734515</v>
      </c>
      <c r="L24" s="83">
        <f>O39</f>
        <v>0.1</v>
      </c>
      <c r="M24" s="41"/>
      <c r="N24" s="150">
        <f>N23*O40</f>
        <v>-0.75</v>
      </c>
      <c r="O24" s="84">
        <f>O40</f>
        <v>0.25</v>
      </c>
      <c r="Q24" t="s">
        <v>42</v>
      </c>
      <c r="R24">
        <f>K23</f>
        <v>48.693805309734508</v>
      </c>
      <c r="S24">
        <f>K23</f>
        <v>48.693805309734508</v>
      </c>
    </row>
    <row r="25" spans="1:30" ht="14.45" x14ac:dyDescent="0.5">
      <c r="C25" s="4"/>
      <c r="D25" s="41"/>
      <c r="E25" s="10" t="s">
        <v>13</v>
      </c>
      <c r="F25" s="117">
        <v>0</v>
      </c>
      <c r="G25" s="99"/>
      <c r="H25" s="117">
        <f>IF($G$5=$C$34,N38/2,IF($G$5=$C$33,N38/3,N38/4))</f>
        <v>0</v>
      </c>
      <c r="I25" s="100"/>
      <c r="J25" s="100"/>
      <c r="K25" s="117">
        <f>IF($G$5=$C$33,N39/3,N39/4)</f>
        <v>0</v>
      </c>
      <c r="L25" s="100"/>
      <c r="M25" s="100"/>
      <c r="N25" s="117">
        <f>N40/4</f>
        <v>0</v>
      </c>
      <c r="O25" s="59"/>
      <c r="Q25" t="s">
        <v>43</v>
      </c>
      <c r="R25">
        <f>N23</f>
        <v>-3</v>
      </c>
    </row>
    <row r="26" spans="1:30" ht="14.45" x14ac:dyDescent="0.5">
      <c r="C26" s="9"/>
      <c r="D26" s="5"/>
      <c r="E26" s="5"/>
      <c r="F26" s="93">
        <f>F24+F25</f>
        <v>1.5161061946902656</v>
      </c>
      <c r="G26" s="34"/>
      <c r="H26" s="94">
        <f>H24+H25</f>
        <v>1.1370796460176991</v>
      </c>
      <c r="I26" s="60"/>
      <c r="J26" s="60"/>
      <c r="K26" s="94">
        <f>IF(G5=C34,0,K24+K25)</f>
        <v>4.8693805309734515</v>
      </c>
      <c r="L26" s="60"/>
      <c r="M26" s="60"/>
      <c r="N26" s="94">
        <f>IF(G5=C33,0,IF(G5=C34,0,N24+N25))</f>
        <v>-0.75</v>
      </c>
      <c r="O26" s="78"/>
      <c r="R26" s="221" t="s">
        <v>70</v>
      </c>
      <c r="S26" s="221"/>
      <c r="V26" s="216" t="s">
        <v>71</v>
      </c>
      <c r="W26" s="216"/>
      <c r="Z26" s="216" t="s">
        <v>98</v>
      </c>
      <c r="AA26" s="216"/>
    </row>
    <row r="27" spans="1:30" ht="18" x14ac:dyDescent="0.6">
      <c r="C27" s="4"/>
      <c r="D27" s="25"/>
      <c r="E27" s="25"/>
      <c r="F27" s="67"/>
      <c r="G27" s="69" t="s">
        <v>66</v>
      </c>
      <c r="H27" s="67"/>
      <c r="I27" s="211">
        <f>ROUND(F26+H26+K26+N26,0)</f>
        <v>7</v>
      </c>
      <c r="J27" s="211"/>
      <c r="K27" s="67"/>
      <c r="L27" s="217"/>
      <c r="M27" s="217"/>
      <c r="N27" s="67"/>
      <c r="O27" s="59"/>
      <c r="Q27" s="91">
        <v>1</v>
      </c>
      <c r="R27" s="104">
        <f>INT(R22*10)</f>
        <v>75</v>
      </c>
      <c r="S27" s="104">
        <f>R27+Q27</f>
        <v>76</v>
      </c>
      <c r="V27" s="91">
        <f>INT(R22*10)</f>
        <v>75</v>
      </c>
      <c r="W27" s="91">
        <f>V27+Q27</f>
        <v>76</v>
      </c>
      <c r="X27" s="91"/>
      <c r="Z27" s="91">
        <f>INT(R22*10)</f>
        <v>75</v>
      </c>
      <c r="AA27" s="91">
        <f>Z27+Q27</f>
        <v>76</v>
      </c>
      <c r="AB27" s="91"/>
    </row>
    <row r="28" spans="1:30" ht="14.45" x14ac:dyDescent="0.5">
      <c r="C28" s="4"/>
      <c r="D28" s="5"/>
      <c r="E28" s="5"/>
      <c r="F28" s="60" t="s">
        <v>61</v>
      </c>
      <c r="G28" s="60" t="str">
        <f>IF(ISNUMBER(SEARCH("Medal",G5)),"Y","N")</f>
        <v>N</v>
      </c>
      <c r="H28" s="60"/>
      <c r="I28" s="60"/>
      <c r="J28" s="60"/>
      <c r="K28" s="60"/>
      <c r="L28" s="60" t="str">
        <f>IF(ISNUMBER(SEARCH("Medal",G5)),"Y","N")</f>
        <v>N</v>
      </c>
      <c r="M28" s="5"/>
      <c r="N28" s="8"/>
      <c r="O28" s="59"/>
      <c r="Q28" s="91">
        <v>2</v>
      </c>
      <c r="R28" s="104">
        <f>INT(R23*10)</f>
        <v>75</v>
      </c>
      <c r="S28" s="104">
        <f>R28+Q28</f>
        <v>77</v>
      </c>
      <c r="V28" s="91">
        <f>INT(R23*10)</f>
        <v>75</v>
      </c>
      <c r="W28" s="91">
        <f>V28+Q28</f>
        <v>77</v>
      </c>
      <c r="X28" s="91"/>
      <c r="Z28" s="91">
        <f>INT(R23*10)</f>
        <v>75</v>
      </c>
      <c r="AA28" s="91">
        <f>Z28+Q28</f>
        <v>77</v>
      </c>
      <c r="AB28" s="91"/>
      <c r="AD28" s="50"/>
    </row>
    <row r="29" spans="1:30" ht="14.45" x14ac:dyDescent="0.5">
      <c r="C29" s="4"/>
      <c r="D29" s="5"/>
      <c r="E29" s="5"/>
      <c r="F29" s="5"/>
      <c r="G29" s="5"/>
      <c r="H29" s="5"/>
      <c r="I29" s="5"/>
      <c r="J29" s="5"/>
      <c r="K29" s="5"/>
      <c r="L29" s="5"/>
      <c r="M29" s="5"/>
      <c r="N29" s="8"/>
      <c r="O29" s="59"/>
      <c r="Q29" s="91">
        <v>3</v>
      </c>
      <c r="R29" s="104">
        <f>INT(R24*10)</f>
        <v>486</v>
      </c>
      <c r="S29" s="104">
        <f>R29+Q29</f>
        <v>489</v>
      </c>
      <c r="V29" s="91">
        <f>INT(R24*10)</f>
        <v>486</v>
      </c>
      <c r="W29" s="91">
        <f>V29+Q29</f>
        <v>489</v>
      </c>
      <c r="X29" s="91"/>
      <c r="Y29" s="51"/>
      <c r="Z29" s="91"/>
      <c r="AA29" s="91"/>
      <c r="AB29" s="91"/>
      <c r="AC29" s="51"/>
    </row>
    <row r="30" spans="1:30" ht="23.25" customHeight="1" thickBot="1" x14ac:dyDescent="0.3">
      <c r="C30" s="218" t="s">
        <v>97</v>
      </c>
      <c r="D30" s="219"/>
      <c r="E30" s="219"/>
      <c r="F30" s="219"/>
      <c r="G30" s="219"/>
      <c r="H30" s="219"/>
      <c r="I30" s="219"/>
      <c r="J30" s="219"/>
      <c r="K30" s="219"/>
      <c r="L30" s="219"/>
      <c r="M30" s="219"/>
      <c r="N30" s="219"/>
      <c r="O30" s="220"/>
      <c r="Q30" s="91">
        <v>4</v>
      </c>
      <c r="R30" s="104">
        <f>INT(R25*10)</f>
        <v>-30</v>
      </c>
      <c r="S30" s="104">
        <f>R30+Q30</f>
        <v>-26</v>
      </c>
      <c r="V30" s="91"/>
      <c r="W30" s="91"/>
      <c r="X30" s="91"/>
      <c r="Z30" s="91"/>
      <c r="AA30" s="91"/>
      <c r="AB30" s="91"/>
    </row>
    <row r="31" spans="1:30" ht="14.45" hidden="1" x14ac:dyDescent="0.5">
      <c r="D31" s="1" t="s">
        <v>40</v>
      </c>
      <c r="E31" s="1" t="s">
        <v>36</v>
      </c>
      <c r="F31" s="1" t="s">
        <v>37</v>
      </c>
      <c r="G31" s="1" t="s">
        <v>39</v>
      </c>
      <c r="H31" t="s">
        <v>4</v>
      </c>
      <c r="I31" s="1" t="s">
        <v>55</v>
      </c>
      <c r="K31" s="1" t="s">
        <v>32</v>
      </c>
      <c r="L31" s="1" t="s">
        <v>34</v>
      </c>
      <c r="M31" s="1" t="s">
        <v>50</v>
      </c>
      <c r="N31" s="1" t="s">
        <v>51</v>
      </c>
      <c r="O31" s="1" t="s">
        <v>52</v>
      </c>
      <c r="P31" s="1"/>
      <c r="R31" s="104"/>
      <c r="S31" s="104"/>
      <c r="V31" s="91"/>
      <c r="W31" s="91"/>
      <c r="X31" s="91"/>
      <c r="Z31" s="91"/>
      <c r="AA31" s="91"/>
      <c r="AB31" s="91"/>
    </row>
    <row r="32" spans="1:30" ht="14.45" hidden="1" x14ac:dyDescent="0.5">
      <c r="A32">
        <v>1</v>
      </c>
      <c r="C32" t="s">
        <v>64</v>
      </c>
      <c r="D32" s="1">
        <v>0</v>
      </c>
      <c r="E32" s="1">
        <v>0</v>
      </c>
      <c r="F32" s="36">
        <v>0</v>
      </c>
      <c r="G32" s="36">
        <f>IF($N$9&gt;$Q$13,$N$9-$Q$13,0)</f>
        <v>0</v>
      </c>
      <c r="H32">
        <v>0.95</v>
      </c>
      <c r="I32" t="s">
        <v>62</v>
      </c>
      <c r="J32" t="s">
        <v>45</v>
      </c>
      <c r="K32">
        <f>F9</f>
        <v>34</v>
      </c>
      <c r="L32">
        <f>F10</f>
        <v>37</v>
      </c>
      <c r="M32">
        <f>F11</f>
        <v>122</v>
      </c>
      <c r="N32">
        <f>F14</f>
        <v>0</v>
      </c>
      <c r="P32" s="1"/>
      <c r="R32" s="104">
        <f>SMALL(R$27:R$30,1)</f>
        <v>-30</v>
      </c>
      <c r="S32" s="104">
        <f>SMALL(S$27:S$30,1)</f>
        <v>-26</v>
      </c>
      <c r="T32" s="91">
        <f>S32-R32</f>
        <v>4</v>
      </c>
      <c r="U32">
        <v>0.25</v>
      </c>
      <c r="V32" s="91">
        <f>SMALL(V$27:V$29,1)</f>
        <v>75</v>
      </c>
      <c r="W32" s="91">
        <f>SMALL(W$27:W$29,1)</f>
        <v>76</v>
      </c>
      <c r="X32" s="91">
        <f>W32-V32</f>
        <v>1</v>
      </c>
      <c r="Y32" s="50">
        <v>0.3</v>
      </c>
      <c r="Z32" s="91">
        <f>SMALL(Z$27:Z$29,1)</f>
        <v>75</v>
      </c>
      <c r="AA32" s="91">
        <f>SMALL(AA$27:AA$28,1)</f>
        <v>76</v>
      </c>
      <c r="AB32" s="91">
        <f>AA32-Z32</f>
        <v>1</v>
      </c>
      <c r="AC32" s="76">
        <v>0.35</v>
      </c>
    </row>
    <row r="33" spans="1:29" ht="14.45" hidden="1" x14ac:dyDescent="0.5">
      <c r="A33">
        <v>2</v>
      </c>
      <c r="C33" t="s">
        <v>65</v>
      </c>
      <c r="D33" s="1">
        <v>0</v>
      </c>
      <c r="E33" s="1">
        <v>0</v>
      </c>
      <c r="F33" s="36">
        <v>0</v>
      </c>
      <c r="G33" s="36">
        <f>IF($N$9&gt;$Q$13,$N$9-$Q$13,0)</f>
        <v>0</v>
      </c>
      <c r="H33">
        <v>1</v>
      </c>
      <c r="I33" t="s">
        <v>63</v>
      </c>
      <c r="J33" t="s">
        <v>46</v>
      </c>
      <c r="K33">
        <f>H9</f>
        <v>34</v>
      </c>
      <c r="L33">
        <f>H10</f>
        <v>69</v>
      </c>
      <c r="M33">
        <f>H11</f>
        <v>122</v>
      </c>
      <c r="N33">
        <f>H14</f>
        <v>0</v>
      </c>
      <c r="P33" s="1"/>
      <c r="R33" s="104">
        <f>SMALL(R$27:R$30,2)</f>
        <v>75</v>
      </c>
      <c r="S33" s="104">
        <f>SMALL(S$27:S$30,2)</f>
        <v>76</v>
      </c>
      <c r="T33" s="91">
        <f>S33-R33</f>
        <v>1</v>
      </c>
      <c r="U33">
        <v>0.2</v>
      </c>
      <c r="V33" s="91">
        <f>SMALL(V$27:V$29,2)</f>
        <v>75</v>
      </c>
      <c r="W33" s="91">
        <f>SMALL(W$27:W$29,2)</f>
        <v>77</v>
      </c>
      <c r="X33" s="91">
        <f>W33-V33</f>
        <v>2</v>
      </c>
      <c r="Y33" s="50">
        <v>0.2</v>
      </c>
      <c r="Z33" s="91">
        <f>SMALL(Z$27:Z$29,2)</f>
        <v>75</v>
      </c>
      <c r="AA33" s="91">
        <f>SMALL(AA$27:AA$28,2)</f>
        <v>77</v>
      </c>
      <c r="AB33" s="91">
        <f>AA33-Z33</f>
        <v>2</v>
      </c>
      <c r="AC33" s="76">
        <v>0.15</v>
      </c>
    </row>
    <row r="34" spans="1:29" ht="14.45" hidden="1" x14ac:dyDescent="0.5">
      <c r="A34">
        <v>3</v>
      </c>
      <c r="C34" t="s">
        <v>99</v>
      </c>
      <c r="D34" s="1">
        <v>0</v>
      </c>
      <c r="E34" s="1">
        <v>0</v>
      </c>
      <c r="F34" s="36">
        <v>0</v>
      </c>
      <c r="G34" s="36">
        <f>IF($N$9&gt;$Q$13,$N$9-$Q$13,0)</f>
        <v>0</v>
      </c>
      <c r="H34">
        <v>0.95</v>
      </c>
      <c r="I34" t="s">
        <v>62</v>
      </c>
      <c r="J34" t="s">
        <v>47</v>
      </c>
      <c r="K34" s="50">
        <f>K9</f>
        <v>73.099999999999994</v>
      </c>
      <c r="L34">
        <f>K10</f>
        <v>73</v>
      </c>
      <c r="M34">
        <f>K11</f>
        <v>133</v>
      </c>
      <c r="N34">
        <f>K14</f>
        <v>0</v>
      </c>
      <c r="P34" s="1"/>
      <c r="R34" s="104">
        <f>SMALL(R$27:R$30,3)</f>
        <v>75</v>
      </c>
      <c r="S34" s="104">
        <f>SMALL(S$27:S$30,3)</f>
        <v>77</v>
      </c>
      <c r="T34" s="91">
        <f>S34-R34</f>
        <v>2</v>
      </c>
      <c r="U34">
        <v>0.15</v>
      </c>
      <c r="V34" s="91">
        <f>SMALL(V$27:V$29,3)</f>
        <v>486</v>
      </c>
      <c r="W34" s="91">
        <f>SMALL(W$27:W$29,3)</f>
        <v>489</v>
      </c>
      <c r="X34" s="91">
        <f>W34-V34</f>
        <v>3</v>
      </c>
      <c r="Y34" s="50">
        <v>0.1</v>
      </c>
      <c r="AB34">
        <v>3</v>
      </c>
    </row>
    <row r="35" spans="1:29" ht="14.45" hidden="1" x14ac:dyDescent="0.5">
      <c r="A35">
        <v>4</v>
      </c>
      <c r="C35" t="s">
        <v>59</v>
      </c>
      <c r="D35" s="1">
        <v>0</v>
      </c>
      <c r="E35" s="1">
        <v>0</v>
      </c>
      <c r="F35" s="36">
        <v>0</v>
      </c>
      <c r="G35" s="1">
        <f>IF($N$12&lt;$S$13,$S$13-$N$12,0)</f>
        <v>71</v>
      </c>
      <c r="H35">
        <v>1</v>
      </c>
      <c r="I35" t="s">
        <v>63</v>
      </c>
      <c r="J35" t="s">
        <v>48</v>
      </c>
      <c r="K35" s="50">
        <f>N9</f>
        <v>0</v>
      </c>
      <c r="L35">
        <f>N10</f>
        <v>0</v>
      </c>
      <c r="M35">
        <f>N11</f>
        <v>0</v>
      </c>
      <c r="N35">
        <f>N14</f>
        <v>0</v>
      </c>
      <c r="P35" s="1"/>
      <c r="R35" s="104">
        <f>SMALL(R$27:R$30,4)</f>
        <v>486</v>
      </c>
      <c r="S35" s="104">
        <f>SMALL(S$27:S$30,4)</f>
        <v>489</v>
      </c>
      <c r="T35" s="91">
        <f>S35-R35</f>
        <v>3</v>
      </c>
      <c r="U35">
        <v>0.1</v>
      </c>
      <c r="X35">
        <v>4</v>
      </c>
      <c r="Y35">
        <v>0</v>
      </c>
      <c r="AB35">
        <v>4</v>
      </c>
      <c r="AC35">
        <v>0</v>
      </c>
    </row>
    <row r="36" spans="1:29" ht="14.45" hidden="1" x14ac:dyDescent="0.5">
      <c r="D36" s="1">
        <v>0</v>
      </c>
      <c r="E36" s="1">
        <f>VLOOKUP(G5,C32:E35,3,FALSE)</f>
        <v>0</v>
      </c>
      <c r="F36" s="1">
        <f>VLOOKUP(G5,C32:F35,4,FALSE)</f>
        <v>0</v>
      </c>
      <c r="G36" s="1">
        <f>VLOOKUP(G5,C32:G35,5,FALSE)</f>
        <v>0</v>
      </c>
      <c r="H36">
        <f>VLOOKUP(G5,C32:H35,6,FALSE)</f>
        <v>0.95</v>
      </c>
      <c r="I36" t="str">
        <f>VLOOKUP(G5,C32:I35,7,FALSE)</f>
        <v>N</v>
      </c>
      <c r="J36" t="s">
        <v>119</v>
      </c>
      <c r="K36" s="50"/>
      <c r="L36">
        <f>VLOOKUP(M5,J32:N34,3,FALSE)</f>
        <v>37</v>
      </c>
      <c r="N36"/>
      <c r="P36" s="1"/>
    </row>
    <row r="37" spans="1:29" ht="14.45" hidden="1" x14ac:dyDescent="0.5">
      <c r="I37" s="91">
        <v>1</v>
      </c>
      <c r="J37" t="s">
        <v>44</v>
      </c>
      <c r="K37">
        <f>VLOOKUP(F21,J32:M35,4,FALSE)</f>
        <v>122</v>
      </c>
      <c r="L37">
        <f>VLOOKUP(F21,J32:M35,2,FALSE)</f>
        <v>34</v>
      </c>
      <c r="M37">
        <f>VLOOKUP(F21,J32:M35,3,FALSE)</f>
        <v>37</v>
      </c>
      <c r="N37">
        <f>VLOOKUP(F21,J32:N35,5,FALSE)</f>
        <v>0</v>
      </c>
      <c r="O37" s="1">
        <f>VLOOKUP(I37,S$38:T$41,2,FALSE)</f>
        <v>0.2</v>
      </c>
      <c r="P37" s="1"/>
    </row>
    <row r="38" spans="1:29" ht="14.45" hidden="1" x14ac:dyDescent="0.5">
      <c r="C38" t="s">
        <v>26</v>
      </c>
      <c r="I38" s="91">
        <v>2</v>
      </c>
      <c r="J38" t="s">
        <v>41</v>
      </c>
      <c r="K38">
        <f>VLOOKUP(H21,J32:M35,4,FALSE)</f>
        <v>122</v>
      </c>
      <c r="L38">
        <f>VLOOKUP(H21,J32:M35,2,FALSE)</f>
        <v>34</v>
      </c>
      <c r="M38">
        <f>VLOOKUP(H21,J32:M35,3,FALSE)</f>
        <v>37</v>
      </c>
      <c r="N38">
        <f>VLOOKUP(H21,J32:N35,5,FALSE)</f>
        <v>0</v>
      </c>
      <c r="O38" s="1">
        <f t="shared" ref="O38:O40" si="0">VLOOKUP(I38,S$38:T$41,2,FALSE)</f>
        <v>0.15</v>
      </c>
      <c r="P38" s="1"/>
      <c r="S38" s="91">
        <f>IF($G$5=$C$32,$T32,IF($G$5=$C$33,$X32,$AB32))</f>
        <v>4</v>
      </c>
      <c r="T38" s="76">
        <f>IF($G$5=$C$32,$U32,IF($G$5=$C$33,$Y32,$AC32))</f>
        <v>0.25</v>
      </c>
    </row>
    <row r="39" spans="1:29" ht="14.45" hidden="1" x14ac:dyDescent="0.5">
      <c r="C39" t="s">
        <v>27</v>
      </c>
      <c r="I39" s="91">
        <v>3</v>
      </c>
      <c r="J39" t="s">
        <v>42</v>
      </c>
      <c r="K39">
        <f>VLOOKUP(K21,J32:M35,4,FALSE)</f>
        <v>133</v>
      </c>
      <c r="L39">
        <f>VLOOKUP(K21,J32:M35,2,FALSE)</f>
        <v>73.099999999999994</v>
      </c>
      <c r="M39">
        <f>VLOOKUP(K21,J32:M35,3,FALSE)</f>
        <v>73</v>
      </c>
      <c r="N39">
        <f>VLOOKUP(K21,J32:N35,5,FALSE)</f>
        <v>0</v>
      </c>
      <c r="O39" s="1">
        <f t="shared" si="0"/>
        <v>0.1</v>
      </c>
      <c r="P39" s="1"/>
      <c r="S39" s="91">
        <f t="shared" ref="S39:S41" si="1">IF($G$5=$C$32,$T33,IF($G$5=$C$33,$X33,$AB33))</f>
        <v>1</v>
      </c>
      <c r="T39" s="76">
        <f t="shared" ref="T39:T41" si="2">IF($G$5=$C$32,$U33,IF($G$5=$C$33,$Y33,$AC33))</f>
        <v>0.2</v>
      </c>
    </row>
    <row r="40" spans="1:29" ht="14.45" hidden="1" x14ac:dyDescent="0.5">
      <c r="C40" t="s">
        <v>28</v>
      </c>
      <c r="I40" s="91">
        <v>4</v>
      </c>
      <c r="J40" t="s">
        <v>43</v>
      </c>
      <c r="K40">
        <f>VLOOKUP(N21,J32:M35,4,FALSE)</f>
        <v>122</v>
      </c>
      <c r="L40">
        <f>VLOOKUP(N21,J32:M35,2,FALSE)</f>
        <v>34</v>
      </c>
      <c r="M40">
        <f>VLOOKUP(N21,J32:M35,3,FALSE)</f>
        <v>37</v>
      </c>
      <c r="N40">
        <f>VLOOKUP(N21,J32:N35,5,FALSE)</f>
        <v>0</v>
      </c>
      <c r="O40" s="1">
        <f t="shared" si="0"/>
        <v>0.25</v>
      </c>
      <c r="P40" s="1"/>
      <c r="S40" s="91">
        <f t="shared" si="1"/>
        <v>2</v>
      </c>
      <c r="T40" s="76">
        <f t="shared" si="2"/>
        <v>0.15</v>
      </c>
    </row>
    <row r="41" spans="1:29" ht="14.45" hidden="1" x14ac:dyDescent="0.5">
      <c r="C41" t="s">
        <v>29</v>
      </c>
      <c r="N41"/>
      <c r="P41" s="1"/>
      <c r="S41" s="91">
        <f t="shared" si="1"/>
        <v>3</v>
      </c>
      <c r="T41" s="76">
        <f t="shared" si="2"/>
        <v>0.1</v>
      </c>
    </row>
    <row r="42" spans="1:29" ht="14.45" hidden="1" x14ac:dyDescent="0.5"/>
    <row r="43" spans="1:29" ht="14.45" hidden="1" x14ac:dyDescent="0.5">
      <c r="C43" t="s">
        <v>45</v>
      </c>
      <c r="J43" t="s">
        <v>53</v>
      </c>
      <c r="S43" s="91"/>
      <c r="T43" s="76"/>
    </row>
    <row r="44" spans="1:29" ht="14.45" hidden="1" x14ac:dyDescent="0.5">
      <c r="C44" t="s">
        <v>46</v>
      </c>
      <c r="S44" s="91"/>
      <c r="T44" s="76"/>
    </row>
    <row r="45" spans="1:29" ht="14.45" hidden="1" x14ac:dyDescent="0.5">
      <c r="C45" t="s">
        <v>47</v>
      </c>
      <c r="H45" t="s">
        <v>103</v>
      </c>
      <c r="K45" t="s">
        <v>105</v>
      </c>
      <c r="Q45" s="91"/>
      <c r="R45" s="91"/>
      <c r="S45" s="91"/>
      <c r="T45" s="76"/>
    </row>
    <row r="46" spans="1:29" ht="14.45" hidden="1" x14ac:dyDescent="0.5">
      <c r="D46" s="82" t="s">
        <v>67</v>
      </c>
      <c r="H46" s="35" t="s">
        <v>29</v>
      </c>
      <c r="I46" s="35" t="s">
        <v>104</v>
      </c>
      <c r="K46" s="35" t="s">
        <v>29</v>
      </c>
      <c r="L46" s="35" t="s">
        <v>104</v>
      </c>
      <c r="Q46" s="91"/>
      <c r="R46" s="91"/>
      <c r="S46" s="91"/>
      <c r="T46" s="76"/>
    </row>
    <row r="47" spans="1:29" ht="12.4" hidden="1" customHeight="1" x14ac:dyDescent="0.5">
      <c r="C47" t="s">
        <v>44</v>
      </c>
      <c r="D47" s="36">
        <f>F19</f>
        <v>19.5</v>
      </c>
      <c r="E47" s="98">
        <f>IF(J5=18,H47,K47)</f>
        <v>7.580530973451328</v>
      </c>
      <c r="F47">
        <f>IF(E47&lt;0,ROUND(E47+0.001,0),ROUND(E47,0))</f>
        <v>8</v>
      </c>
      <c r="H47" s="98">
        <f>(D47*K37/113)+(L37-L36)</f>
        <v>18.053097345132745</v>
      </c>
      <c r="I47">
        <f>IF(H47&lt;0,ROUND(H47+0.001,0),ROUND(H47,0))</f>
        <v>18</v>
      </c>
      <c r="K47" s="98">
        <f>(IF(D47&lt;0,ROUND((D47/2)+0.05,1),ROUND(D47/2,1))*K37/113)+(L37-L36)</f>
        <v>7.580530973451328</v>
      </c>
      <c r="L47">
        <f>IF(K47&lt;0,ROUND(K47+0.001,0),ROUND(K47,0))</f>
        <v>8</v>
      </c>
      <c r="Q47" s="91"/>
      <c r="R47" s="91"/>
      <c r="S47" s="91"/>
    </row>
    <row r="48" spans="1:29" ht="14.45" hidden="1" x14ac:dyDescent="0.5">
      <c r="C48" t="s">
        <v>41</v>
      </c>
      <c r="D48" s="36">
        <f>H19</f>
        <v>19.5</v>
      </c>
      <c r="E48" s="98">
        <f>IF(J5=18,H48,K48)</f>
        <v>7.580530973451328</v>
      </c>
      <c r="F48">
        <f t="shared" ref="F48:F50" si="3">IF(E48&lt;0,ROUND(E48+0.001,0),ROUND(E48,0))</f>
        <v>8</v>
      </c>
      <c r="H48" s="98">
        <f>(D48*K38/113)+(L38-L36)</f>
        <v>18.053097345132745</v>
      </c>
      <c r="I48">
        <f t="shared" ref="I48:I50" si="4">IF(H48&lt;0,ROUND(H48+0.001,0),ROUND(H48,0))</f>
        <v>18</v>
      </c>
      <c r="K48" s="98">
        <f>(IF(D48&lt;0,ROUND((D48/2)+0.05,1),ROUND(D48/2,1))*K38/113)+(L38-L36)</f>
        <v>7.580530973451328</v>
      </c>
      <c r="L48">
        <f t="shared" ref="L48:L50" si="5">IF(K48&lt;0,ROUND(K48+0.001,0),ROUND(K48,0))</f>
        <v>8</v>
      </c>
      <c r="Q48" s="91"/>
      <c r="R48" s="91"/>
      <c r="S48" s="91"/>
    </row>
    <row r="49" spans="3:20" ht="14.45" hidden="1" x14ac:dyDescent="0.5">
      <c r="C49" t="s">
        <v>42</v>
      </c>
      <c r="D49" s="36">
        <f>K19</f>
        <v>21.3</v>
      </c>
      <c r="E49" s="98">
        <f>IF(J5=18,H49,K49)</f>
        <v>48.693805309734508</v>
      </c>
      <c r="F49">
        <f t="shared" si="3"/>
        <v>49</v>
      </c>
      <c r="H49" s="98">
        <f>(D49*K39/113)+(L39-L36)</f>
        <v>61.169911504424775</v>
      </c>
      <c r="I49">
        <f t="shared" si="4"/>
        <v>61</v>
      </c>
      <c r="K49" s="98">
        <f>(IF(D49&lt;0,ROUND((D49/2)+0.05,1),ROUND(D49/2,1))*K39/113)+(L39-L36)</f>
        <v>48.693805309734508</v>
      </c>
      <c r="L49">
        <f t="shared" si="5"/>
        <v>49</v>
      </c>
    </row>
    <row r="50" spans="3:20" ht="14.45" hidden="1" x14ac:dyDescent="0.5">
      <c r="C50" t="s">
        <v>43</v>
      </c>
      <c r="D50" s="36">
        <f>N19</f>
        <v>0</v>
      </c>
      <c r="E50" s="98">
        <f>IF(J5=18,H50,K50)</f>
        <v>-3</v>
      </c>
      <c r="F50">
        <f t="shared" si="3"/>
        <v>-3</v>
      </c>
      <c r="H50" s="98">
        <f>(D50*K40/113)+(L40-L36)</f>
        <v>-3</v>
      </c>
      <c r="I50">
        <f t="shared" si="4"/>
        <v>-3</v>
      </c>
      <c r="K50" s="98">
        <f>(IF(D50&lt;0,ROUND((D50/2)+0.05,1),ROUND(D50/2,1))*K40/113)+(L40-L36)</f>
        <v>-3</v>
      </c>
      <c r="L50">
        <f t="shared" si="5"/>
        <v>-3</v>
      </c>
    </row>
    <row r="51" spans="3:20" ht="14.45" hidden="1" x14ac:dyDescent="0.5">
      <c r="T51" s="91"/>
    </row>
    <row r="52" spans="3:20" ht="14.45" hidden="1" x14ac:dyDescent="0.5">
      <c r="C52">
        <v>18</v>
      </c>
      <c r="N52" s="103"/>
      <c r="T52" s="91"/>
    </row>
    <row r="53" spans="3:20" ht="14.45" hidden="1" x14ac:dyDescent="0.5">
      <c r="C53">
        <v>9</v>
      </c>
      <c r="N53" s="103"/>
      <c r="T53" s="91"/>
    </row>
    <row r="54" spans="3:20" ht="14.45" x14ac:dyDescent="0.5">
      <c r="N54" s="103"/>
      <c r="T54" s="91"/>
    </row>
    <row r="55" spans="3:20" ht="14.45" x14ac:dyDescent="0.5">
      <c r="N55" s="103"/>
    </row>
  </sheetData>
  <sheetProtection algorithmName="SHA-512" hashValue="mD7ntaCygbOgpEckrXiODIY8sMBDa9xILoRmk6xbuI2ucQi7VT+he3hDTwpEfxOlIIf4qUXSE8yR8vDHx6EHuw==" saltValue="Y6M9N7hjGAfW4gQIEh5kww==" spinCount="100000" sheet="1" selectLockedCells="1"/>
  <mergeCells count="12">
    <mergeCell ref="M6:M9"/>
    <mergeCell ref="Z26:AA26"/>
    <mergeCell ref="L27:M27"/>
    <mergeCell ref="C30:O30"/>
    <mergeCell ref="I27:J27"/>
    <mergeCell ref="R26:S26"/>
    <mergeCell ref="V26:W26"/>
    <mergeCell ref="C2:D2"/>
    <mergeCell ref="C3:D3"/>
    <mergeCell ref="G3:H3"/>
    <mergeCell ref="C5:D5"/>
    <mergeCell ref="G5:H5"/>
  </mergeCells>
  <conditionalFormatting sqref="F23">
    <cfRule type="expression" dxfId="9" priority="13">
      <formula>$G$3=$C$41</formula>
    </cfRule>
  </conditionalFormatting>
  <conditionalFormatting sqref="H23">
    <cfRule type="expression" dxfId="8" priority="6">
      <formula>$G$3=$C$41</formula>
    </cfRule>
  </conditionalFormatting>
  <conditionalFormatting sqref="K16:O26">
    <cfRule type="expression" dxfId="7" priority="1">
      <formula>$G$5=$C$34</formula>
    </cfRule>
  </conditionalFormatting>
  <conditionalFormatting sqref="N17:O26">
    <cfRule type="expression" dxfId="6" priority="2">
      <formula>$G$5=$C$33</formula>
    </cfRule>
  </conditionalFormatting>
  <dataValidations count="3">
    <dataValidation type="list" allowBlank="1" showInputMessage="1" showErrorMessage="1" sqref="G5:H5">
      <formula1>$C$32:$C$34</formula1>
    </dataValidation>
    <dataValidation type="list" allowBlank="1" showInputMessage="1" showErrorMessage="1" sqref="N21 F21 H21 K21 M5">
      <formula1>$C$43:$C$45</formula1>
    </dataValidation>
    <dataValidation type="list" allowBlank="1" showInputMessage="1" showErrorMessage="1" sqref="J5">
      <formula1>$C$52:$C$53</formula1>
    </dataValidation>
  </dataValidations>
  <pageMargins left="0.7" right="0.7" top="0.75" bottom="0.75" header="0.3" footer="0.3"/>
  <pageSetup paperSize="9" orientation="portrait" horizontalDpi="360" verticalDpi="36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D64"/>
  <sheetViews>
    <sheetView workbookViewId="0">
      <selection activeCell="G5" sqref="G5:H5"/>
    </sheetView>
  </sheetViews>
  <sheetFormatPr defaultRowHeight="15" x14ac:dyDescent="0.25"/>
  <cols>
    <col min="2" max="2" width="4.42578125" customWidth="1"/>
    <col min="3" max="3" width="22.7109375" bestFit="1" customWidth="1"/>
    <col min="5" max="5" width="13" customWidth="1"/>
    <col min="7" max="7" width="17.5703125" customWidth="1"/>
    <col min="9" max="9" width="10.140625" customWidth="1"/>
    <col min="10" max="12" width="9.140625" bestFit="1" customWidth="1"/>
    <col min="14" max="15" width="9" style="1"/>
    <col min="16" max="26" width="9" hidden="1" customWidth="1"/>
    <col min="27" max="30" width="0" hidden="1" customWidth="1"/>
  </cols>
  <sheetData>
    <row r="1" spans="3:26" ht="14.65" thickBot="1" x14ac:dyDescent="0.55000000000000004"/>
    <row r="2" spans="3:26" ht="14.45" x14ac:dyDescent="0.5">
      <c r="C2" s="171" t="s">
        <v>22</v>
      </c>
      <c r="D2" s="172"/>
      <c r="E2" s="2"/>
      <c r="F2" s="2"/>
      <c r="G2" s="2"/>
      <c r="H2" s="2"/>
      <c r="I2" s="2"/>
      <c r="J2" s="2"/>
      <c r="K2" s="2"/>
      <c r="L2" s="2"/>
      <c r="M2" s="2"/>
      <c r="N2" s="57"/>
      <c r="O2" s="58"/>
    </row>
    <row r="3" spans="3:26" ht="22.35" customHeight="1" x14ac:dyDescent="0.5">
      <c r="C3" s="173" t="s">
        <v>23</v>
      </c>
      <c r="D3" s="174"/>
      <c r="E3" s="5"/>
      <c r="F3" s="30"/>
      <c r="G3" s="222"/>
      <c r="H3" s="222"/>
      <c r="I3" s="5"/>
      <c r="J3" s="5"/>
      <c r="K3" s="5"/>
      <c r="L3" s="5"/>
      <c r="M3" s="5"/>
      <c r="N3" s="8"/>
      <c r="O3" s="59"/>
    </row>
    <row r="4" spans="3:26" ht="14.45" x14ac:dyDescent="0.5">
      <c r="C4" s="52"/>
      <c r="D4" s="53"/>
      <c r="E4" s="5"/>
      <c r="F4" s="5"/>
      <c r="G4" s="5"/>
      <c r="H4" s="5"/>
      <c r="I4" s="5"/>
      <c r="J4" s="5"/>
      <c r="K4" s="5"/>
      <c r="L4" s="5"/>
      <c r="M4" s="5"/>
      <c r="N4" s="8"/>
      <c r="O4" s="59"/>
    </row>
    <row r="5" spans="3:26" ht="22.35" customHeight="1" x14ac:dyDescent="0.7">
      <c r="C5" s="193" t="s">
        <v>38</v>
      </c>
      <c r="D5" s="194"/>
      <c r="E5" s="31" t="s">
        <v>21</v>
      </c>
      <c r="F5" s="32"/>
      <c r="G5" s="209" t="s">
        <v>85</v>
      </c>
      <c r="H5" s="209"/>
      <c r="I5" s="5"/>
      <c r="J5" s="88" t="s">
        <v>86</v>
      </c>
      <c r="K5" s="5"/>
      <c r="L5" s="5"/>
      <c r="M5" s="5"/>
      <c r="N5" s="8"/>
      <c r="O5" s="59"/>
    </row>
    <row r="6" spans="3:26" ht="14.45" x14ac:dyDescent="0.5">
      <c r="C6" s="4"/>
      <c r="D6" s="5"/>
      <c r="E6" s="5"/>
      <c r="F6" s="5"/>
      <c r="G6" s="5"/>
      <c r="H6" s="5"/>
      <c r="I6" s="5"/>
      <c r="J6" s="5"/>
      <c r="K6" s="5"/>
      <c r="L6" s="5"/>
      <c r="M6" s="5"/>
      <c r="N6" s="8"/>
      <c r="O6" s="59"/>
    </row>
    <row r="7" spans="3:26" ht="14.45" x14ac:dyDescent="0.5">
      <c r="C7" s="4"/>
      <c r="D7" s="5"/>
      <c r="E7" s="5"/>
      <c r="F7" s="53" t="s">
        <v>35</v>
      </c>
      <c r="G7" s="8"/>
      <c r="H7" s="53" t="s">
        <v>36</v>
      </c>
      <c r="I7" s="8"/>
      <c r="J7" s="8"/>
      <c r="K7" s="53" t="s">
        <v>37</v>
      </c>
      <c r="L7" s="5"/>
      <c r="M7" s="8"/>
      <c r="N7" s="53"/>
      <c r="O7" s="59"/>
      <c r="Q7" s="1" t="s">
        <v>32</v>
      </c>
      <c r="R7" s="1" t="s">
        <v>34</v>
      </c>
      <c r="S7" s="1" t="s">
        <v>16</v>
      </c>
      <c r="U7" s="85"/>
      <c r="V7" s="85" t="s">
        <v>45</v>
      </c>
      <c r="W7" s="85"/>
      <c r="X7" s="85" t="s">
        <v>46</v>
      </c>
      <c r="Z7" s="85" t="s">
        <v>47</v>
      </c>
    </row>
    <row r="8" spans="3:26" ht="14.45" x14ac:dyDescent="0.5">
      <c r="C8" s="4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9"/>
      <c r="Q8" s="1"/>
      <c r="R8" s="1"/>
      <c r="S8" s="1"/>
      <c r="U8" s="85"/>
      <c r="V8" s="85"/>
      <c r="W8" s="85"/>
      <c r="X8" s="85"/>
      <c r="Z8" s="85"/>
    </row>
    <row r="9" spans="3:26" ht="20.100000000000001" customHeight="1" x14ac:dyDescent="0.5">
      <c r="C9" s="4"/>
      <c r="D9" s="5"/>
      <c r="E9" s="7" t="s">
        <v>11</v>
      </c>
      <c r="F9" s="48">
        <v>70.7</v>
      </c>
      <c r="G9" s="7" t="s">
        <v>11</v>
      </c>
      <c r="H9" s="48">
        <v>67.400000000000006</v>
      </c>
      <c r="I9" s="5"/>
      <c r="J9" s="7" t="s">
        <v>11</v>
      </c>
      <c r="K9" s="48">
        <v>67.400000000000006</v>
      </c>
      <c r="L9" s="5"/>
      <c r="M9" s="7"/>
      <c r="N9" s="73"/>
      <c r="O9" s="59"/>
      <c r="Q9" s="1">
        <f>F9</f>
        <v>70.7</v>
      </c>
      <c r="R9" s="1">
        <f>F10</f>
        <v>75</v>
      </c>
      <c r="S9" s="1">
        <f>F12</f>
        <v>40</v>
      </c>
      <c r="U9" s="85" t="s">
        <v>16</v>
      </c>
      <c r="V9" s="95">
        <f>F9-F10</f>
        <v>-4.2999999999999972</v>
      </c>
      <c r="W9" s="95"/>
      <c r="X9" s="95">
        <f>H9-H10</f>
        <v>-1.5999999999999943</v>
      </c>
      <c r="Z9" s="95">
        <f>K9-K10</f>
        <v>-1.5999999999999943</v>
      </c>
    </row>
    <row r="10" spans="3:26" ht="20.100000000000001" customHeight="1" x14ac:dyDescent="0.5">
      <c r="C10" s="4"/>
      <c r="D10" s="5"/>
      <c r="E10" s="7" t="s">
        <v>0</v>
      </c>
      <c r="F10" s="47">
        <v>75</v>
      </c>
      <c r="G10" s="7" t="s">
        <v>0</v>
      </c>
      <c r="H10" s="47">
        <v>69</v>
      </c>
      <c r="I10" s="5"/>
      <c r="J10" s="7" t="s">
        <v>0</v>
      </c>
      <c r="K10" s="47">
        <v>69</v>
      </c>
      <c r="L10" s="5"/>
      <c r="M10" s="7"/>
      <c r="N10" s="74"/>
      <c r="O10" s="59"/>
      <c r="Q10" s="1">
        <f>H9</f>
        <v>67.400000000000006</v>
      </c>
      <c r="R10" s="1">
        <f>H10</f>
        <v>69</v>
      </c>
      <c r="S10" s="1">
        <f>H12</f>
        <v>38</v>
      </c>
      <c r="U10" s="85" t="s">
        <v>100</v>
      </c>
      <c r="V10" s="95">
        <f>TRUNC(V9)</f>
        <v>-4</v>
      </c>
      <c r="W10" s="85"/>
      <c r="X10" s="95">
        <f>TRUNC(X9)</f>
        <v>-1</v>
      </c>
      <c r="Z10" s="95">
        <f>TRUNC(Z9)</f>
        <v>-1</v>
      </c>
    </row>
    <row r="11" spans="3:26" ht="20.100000000000001" customHeight="1" x14ac:dyDescent="0.5">
      <c r="C11" s="4"/>
      <c r="D11" s="5"/>
      <c r="E11" s="7" t="s">
        <v>12</v>
      </c>
      <c r="F11" s="47">
        <v>113</v>
      </c>
      <c r="G11" s="7" t="s">
        <v>12</v>
      </c>
      <c r="H11" s="47">
        <v>120</v>
      </c>
      <c r="I11" s="5"/>
      <c r="J11" s="7" t="s">
        <v>12</v>
      </c>
      <c r="K11" s="47">
        <v>120</v>
      </c>
      <c r="L11" s="5"/>
      <c r="M11" s="7"/>
      <c r="N11" s="74"/>
      <c r="O11" s="59"/>
      <c r="Q11" s="1">
        <f>K9</f>
        <v>67.400000000000006</v>
      </c>
      <c r="R11" s="1">
        <f>K10</f>
        <v>69</v>
      </c>
      <c r="S11" s="1">
        <f>K12</f>
        <v>38</v>
      </c>
      <c r="U11" s="85" t="s">
        <v>101</v>
      </c>
      <c r="V11" s="95">
        <f>V9-V10</f>
        <v>-0.29999999999999716</v>
      </c>
      <c r="W11" s="85"/>
      <c r="X11" s="95">
        <f>X9-X10</f>
        <v>-0.59999999999999432</v>
      </c>
      <c r="Z11" s="95">
        <f>Z9-Z10</f>
        <v>-0.59999999999999432</v>
      </c>
    </row>
    <row r="12" spans="3:26" ht="14.45" x14ac:dyDescent="0.5">
      <c r="C12" s="4"/>
      <c r="D12" s="5"/>
      <c r="E12" s="10" t="s">
        <v>16</v>
      </c>
      <c r="F12" s="34">
        <f>IF(F9&gt;0,36-V12,0)</f>
        <v>40</v>
      </c>
      <c r="G12" s="10" t="s">
        <v>16</v>
      </c>
      <c r="H12" s="34">
        <f>IF(H9&gt;0,36-X12,0)</f>
        <v>38</v>
      </c>
      <c r="I12" s="60"/>
      <c r="J12" s="10" t="s">
        <v>16</v>
      </c>
      <c r="K12" s="34">
        <f>IF(K9&gt;0,36-Z12,0)</f>
        <v>38</v>
      </c>
      <c r="L12" s="60"/>
      <c r="M12" s="10"/>
      <c r="N12" s="34"/>
      <c r="O12" s="59"/>
      <c r="Q12" s="36"/>
      <c r="R12" s="1"/>
      <c r="S12" s="1"/>
      <c r="U12" s="85" t="s">
        <v>102</v>
      </c>
      <c r="V12" s="85">
        <f>IF(V9&lt;0,IF(V11&lt;-0.5,V10-1,V10),ROUND(V9,0))</f>
        <v>-4</v>
      </c>
      <c r="W12" s="85"/>
      <c r="X12" s="85">
        <f>IF(X9&lt;0,IF(X11&lt;-0.5,X10-1,X10),ROUND(X9,0))</f>
        <v>-2</v>
      </c>
      <c r="Z12" s="85">
        <f>IF(Z9&lt;0,IF(Z11&lt;-0.5,Z10-1,Z10),ROUND(Z9,0))</f>
        <v>-2</v>
      </c>
    </row>
    <row r="13" spans="3:26" ht="10.5" customHeight="1" x14ac:dyDescent="0.5">
      <c r="C13" s="4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9"/>
      <c r="P13" s="35" t="s">
        <v>33</v>
      </c>
      <c r="Q13" s="1">
        <f>SMALL(Q9:Q11,COUNTIF($Q$9:$Q$11,0)+1)</f>
        <v>67.400000000000006</v>
      </c>
      <c r="R13" s="1">
        <f t="shared" ref="R13" si="0">SMALL(R9:R11,COUNTIF($Q$9:$Q$11,0)+1)</f>
        <v>69</v>
      </c>
      <c r="S13" s="1">
        <f>MAX(S9:S11)</f>
        <v>40</v>
      </c>
    </row>
    <row r="14" spans="3:26" ht="15.75" x14ac:dyDescent="0.55000000000000004">
      <c r="C14" s="4"/>
      <c r="D14" s="5"/>
      <c r="E14" s="27" t="s">
        <v>13</v>
      </c>
      <c r="F14" s="61">
        <f>H42</f>
        <v>6</v>
      </c>
      <c r="G14" s="26"/>
      <c r="H14" s="61">
        <f>I42</f>
        <v>0</v>
      </c>
      <c r="I14" s="5"/>
      <c r="J14" s="5"/>
      <c r="K14" s="61">
        <f>J42</f>
        <v>0</v>
      </c>
      <c r="L14" s="5"/>
      <c r="M14" s="5"/>
      <c r="N14" s="67"/>
      <c r="O14" s="59"/>
    </row>
    <row r="15" spans="3:26" ht="14.45" x14ac:dyDescent="0.5">
      <c r="C15" s="4"/>
      <c r="D15" s="5"/>
      <c r="E15" s="7"/>
      <c r="F15" s="8"/>
      <c r="G15" s="5"/>
      <c r="H15" s="8"/>
      <c r="I15" s="5"/>
      <c r="J15" s="5"/>
      <c r="K15" s="5"/>
      <c r="L15" s="5"/>
      <c r="M15" s="5"/>
      <c r="N15" s="8"/>
      <c r="O15" s="59"/>
    </row>
    <row r="16" spans="3:26" ht="14.45" x14ac:dyDescent="0.5">
      <c r="C16" s="4"/>
      <c r="D16" s="5"/>
      <c r="E16" s="7"/>
      <c r="F16" s="8"/>
      <c r="G16" s="5"/>
      <c r="H16" s="8"/>
      <c r="I16" s="5"/>
      <c r="J16" s="5"/>
      <c r="K16" s="5"/>
      <c r="L16" s="5"/>
      <c r="M16" s="5"/>
      <c r="N16" s="8"/>
      <c r="O16" s="59"/>
    </row>
    <row r="17" spans="1:30" ht="14.45" x14ac:dyDescent="0.5">
      <c r="C17" s="4"/>
      <c r="D17" s="5"/>
      <c r="E17" s="5"/>
      <c r="F17" s="53" t="s">
        <v>44</v>
      </c>
      <c r="G17" s="53"/>
      <c r="H17" s="53" t="s">
        <v>41</v>
      </c>
      <c r="I17" s="53"/>
      <c r="J17" s="53"/>
      <c r="K17" s="53" t="s">
        <v>42</v>
      </c>
      <c r="L17" s="53"/>
      <c r="M17" s="53"/>
      <c r="N17" s="53" t="s">
        <v>43</v>
      </c>
      <c r="O17" s="59"/>
    </row>
    <row r="18" spans="1:30" ht="14.45" x14ac:dyDescent="0.5">
      <c r="C18" s="4"/>
      <c r="D18" s="18" t="s">
        <v>17</v>
      </c>
      <c r="E18" s="5"/>
      <c r="F18" s="5"/>
      <c r="G18" s="5"/>
      <c r="H18" s="5"/>
      <c r="I18" s="5"/>
      <c r="J18" s="5"/>
      <c r="K18" s="5"/>
      <c r="L18" s="5"/>
      <c r="M18" s="5"/>
      <c r="N18" s="8" t="s">
        <v>31</v>
      </c>
      <c r="O18" s="59"/>
    </row>
    <row r="19" spans="1:30" ht="14.45" x14ac:dyDescent="0.5">
      <c r="C19" s="4"/>
      <c r="D19" s="44"/>
      <c r="E19" s="7" t="s">
        <v>3</v>
      </c>
      <c r="F19" s="49">
        <v>0</v>
      </c>
      <c r="G19" s="5"/>
      <c r="H19" s="49">
        <v>20.7</v>
      </c>
      <c r="I19" s="5"/>
      <c r="J19" s="5"/>
      <c r="K19" s="49">
        <v>20.6</v>
      </c>
      <c r="L19" s="5"/>
      <c r="M19" s="5"/>
      <c r="N19" s="49">
        <v>16.399999999999999</v>
      </c>
      <c r="O19" s="59"/>
    </row>
    <row r="20" spans="1:30" ht="3.4" customHeight="1" x14ac:dyDescent="0.5">
      <c r="C20" s="9"/>
      <c r="D20" s="44"/>
      <c r="E20" s="5"/>
      <c r="F20" s="44">
        <v>-2</v>
      </c>
      <c r="G20" s="5"/>
      <c r="H20" s="44"/>
      <c r="I20" s="5"/>
      <c r="J20" s="5"/>
      <c r="K20" s="44"/>
      <c r="L20" s="5"/>
      <c r="M20" s="5"/>
      <c r="N20" s="44"/>
      <c r="O20" s="59"/>
    </row>
    <row r="21" spans="1:30" ht="18" customHeight="1" x14ac:dyDescent="0.5">
      <c r="C21" s="9"/>
      <c r="D21" s="44"/>
      <c r="E21" s="5" t="s">
        <v>49</v>
      </c>
      <c r="F21" s="49" t="s">
        <v>45</v>
      </c>
      <c r="G21" s="5"/>
      <c r="H21" s="49" t="s">
        <v>46</v>
      </c>
      <c r="I21" s="5"/>
      <c r="J21" s="5"/>
      <c r="K21" s="49" t="s">
        <v>45</v>
      </c>
      <c r="L21" s="5"/>
      <c r="M21" s="5"/>
      <c r="N21" s="49" t="s">
        <v>46</v>
      </c>
      <c r="O21" s="59"/>
    </row>
    <row r="22" spans="1:30" ht="15.4" customHeight="1" x14ac:dyDescent="0.5">
      <c r="C22" s="9"/>
      <c r="D22" s="44"/>
      <c r="E22" s="5"/>
      <c r="F22" s="44"/>
      <c r="G22" s="53"/>
      <c r="H22" s="44"/>
      <c r="I22" s="5"/>
      <c r="J22" s="5"/>
      <c r="K22" s="44"/>
      <c r="L22" s="18"/>
      <c r="M22" s="18"/>
      <c r="N22" s="8"/>
      <c r="O22" s="59"/>
    </row>
    <row r="23" spans="1:30" ht="14.45" x14ac:dyDescent="0.5">
      <c r="C23" s="4"/>
      <c r="D23" s="41"/>
      <c r="E23" s="7" t="s">
        <v>18</v>
      </c>
      <c r="F23" s="126">
        <f>E47</f>
        <v>-4.2999999999999972</v>
      </c>
      <c r="G23" s="46"/>
      <c r="H23" s="126">
        <f>E48</f>
        <v>20.382300884955757</v>
      </c>
      <c r="I23" s="46"/>
      <c r="J23" s="46"/>
      <c r="K23" s="126">
        <f>E49</f>
        <v>16.300000000000004</v>
      </c>
      <c r="L23" s="5"/>
      <c r="M23" s="5"/>
      <c r="N23" s="149">
        <f>E50</f>
        <v>15.815929203539827</v>
      </c>
      <c r="O23" s="59"/>
    </row>
    <row r="24" spans="1:30" ht="14.45" x14ac:dyDescent="0.5">
      <c r="C24" s="4"/>
      <c r="D24" s="66"/>
      <c r="E24" s="7" t="s">
        <v>4</v>
      </c>
      <c r="F24" s="127">
        <f>F23*G24</f>
        <v>-4.2999999999999972</v>
      </c>
      <c r="G24" s="83">
        <f>L42</f>
        <v>1</v>
      </c>
      <c r="H24" s="127">
        <f>H23*I24</f>
        <v>20.382300884955757</v>
      </c>
      <c r="I24" s="83">
        <f>L42</f>
        <v>1</v>
      </c>
      <c r="J24" s="72"/>
      <c r="K24" s="127">
        <f>K23*L24</f>
        <v>16.300000000000004</v>
      </c>
      <c r="L24" s="83">
        <f>L42</f>
        <v>1</v>
      </c>
      <c r="M24" s="41"/>
      <c r="N24" s="127">
        <f>N23*O24</f>
        <v>15.815929203539827</v>
      </c>
      <c r="O24" s="84">
        <f>L42</f>
        <v>1</v>
      </c>
    </row>
    <row r="25" spans="1:30" ht="14.45" x14ac:dyDescent="0.5">
      <c r="C25" s="4"/>
      <c r="D25" s="41"/>
      <c r="E25" s="7" t="s">
        <v>13</v>
      </c>
      <c r="F25" s="116">
        <f>IF(F21=$C$51,H42,IF(F21=$C$52,I42,J42))</f>
        <v>6</v>
      </c>
      <c r="G25" s="42"/>
      <c r="H25" s="116">
        <f>IF(H21=$C$51,H42,IF(H21=$C$52,I42,J42))</f>
        <v>0</v>
      </c>
      <c r="I25" s="41"/>
      <c r="J25" s="41"/>
      <c r="K25" s="116">
        <f>IF(K21=$C$51,H42,IF(K21=$C$52,I42,J42))</f>
        <v>6</v>
      </c>
      <c r="L25" s="41"/>
      <c r="M25" s="41"/>
      <c r="N25" s="116">
        <f>IF(N21=$C$51,H42,IF(N21=$C$52,I42,J42))</f>
        <v>0</v>
      </c>
      <c r="O25" s="59"/>
    </row>
    <row r="26" spans="1:30" ht="14.45" x14ac:dyDescent="0.5">
      <c r="C26" s="9"/>
      <c r="D26" s="5"/>
      <c r="E26" s="5"/>
      <c r="F26" s="70">
        <f>F24+F25</f>
        <v>1.7000000000000028</v>
      </c>
      <c r="G26" s="34"/>
      <c r="H26" s="70">
        <f>H24+H25</f>
        <v>20.382300884955757</v>
      </c>
      <c r="I26" s="60"/>
      <c r="J26" s="60"/>
      <c r="K26" s="70">
        <f>K24+K25</f>
        <v>22.300000000000004</v>
      </c>
      <c r="L26" s="60"/>
      <c r="M26" s="60"/>
      <c r="N26" s="70">
        <f>IF(G5=C33,0,N24+N25)</f>
        <v>15.815929203539827</v>
      </c>
      <c r="O26" s="59"/>
      <c r="R26" s="216"/>
      <c r="S26" s="216"/>
      <c r="V26" s="216"/>
      <c r="W26" s="216"/>
    </row>
    <row r="27" spans="1:30" ht="18" x14ac:dyDescent="0.6">
      <c r="C27" s="4"/>
      <c r="D27" s="24" t="s">
        <v>19</v>
      </c>
      <c r="E27" s="25"/>
      <c r="F27" s="16">
        <f>I64</f>
        <v>2</v>
      </c>
      <c r="G27" s="69"/>
      <c r="H27" s="16">
        <f>J64</f>
        <v>20</v>
      </c>
      <c r="I27" s="89"/>
      <c r="J27" s="90"/>
      <c r="K27" s="16">
        <f>K64</f>
        <v>22</v>
      </c>
      <c r="L27" s="217"/>
      <c r="M27" s="217"/>
      <c r="N27" s="16">
        <f>L64</f>
        <v>16</v>
      </c>
      <c r="O27" s="59"/>
    </row>
    <row r="28" spans="1:30" ht="14.45" x14ac:dyDescent="0.5">
      <c r="C28" s="4"/>
      <c r="D28" s="5"/>
      <c r="E28" s="5"/>
      <c r="F28" s="60" t="s">
        <v>61</v>
      </c>
      <c r="G28" s="60" t="str">
        <f>IF(ISNUMBER(SEARCH("Medal",G5)),"Y","N")</f>
        <v>N</v>
      </c>
      <c r="H28" s="60"/>
      <c r="I28" s="60"/>
      <c r="J28" s="60"/>
      <c r="K28" s="60"/>
      <c r="L28" s="60" t="str">
        <f>IF(ISNUMBER(SEARCH("Medal",G5)),"Y","N")</f>
        <v>N</v>
      </c>
      <c r="M28" s="5"/>
      <c r="N28" s="8"/>
      <c r="O28" s="59"/>
      <c r="AD28" s="50"/>
    </row>
    <row r="29" spans="1:30" ht="14.45" x14ac:dyDescent="0.5">
      <c r="C29" s="4"/>
      <c r="D29" s="5"/>
      <c r="E29" s="5"/>
      <c r="F29" s="5"/>
      <c r="G29" s="5"/>
      <c r="H29" s="5"/>
      <c r="I29" s="5"/>
      <c r="J29" s="5"/>
      <c r="K29" s="5"/>
      <c r="L29" s="5"/>
      <c r="M29" s="5"/>
      <c r="N29" s="8"/>
      <c r="O29" s="59"/>
      <c r="Y29" s="51"/>
    </row>
    <row r="30" spans="1:30" ht="23.25" customHeight="1" thickBot="1" x14ac:dyDescent="0.3">
      <c r="C30" s="218" t="s">
        <v>95</v>
      </c>
      <c r="D30" s="219"/>
      <c r="E30" s="219"/>
      <c r="F30" s="219"/>
      <c r="G30" s="219"/>
      <c r="H30" s="219"/>
      <c r="I30" s="219"/>
      <c r="J30" s="219"/>
      <c r="K30" s="219"/>
      <c r="L30" s="219"/>
      <c r="M30" s="219"/>
      <c r="N30" s="219"/>
      <c r="O30" s="220"/>
    </row>
    <row r="31" spans="1:30" ht="14.45" hidden="1" x14ac:dyDescent="0.5">
      <c r="D31" s="1" t="s">
        <v>40</v>
      </c>
      <c r="E31" s="1" t="s">
        <v>36</v>
      </c>
      <c r="F31" s="1" t="s">
        <v>37</v>
      </c>
      <c r="G31" s="1"/>
      <c r="H31" s="1" t="s">
        <v>45</v>
      </c>
      <c r="I31" s="1" t="s">
        <v>46</v>
      </c>
      <c r="J31" s="1" t="s">
        <v>47</v>
      </c>
      <c r="K31" s="1"/>
      <c r="L31" s="1" t="s">
        <v>4</v>
      </c>
      <c r="M31" t="s">
        <v>4</v>
      </c>
      <c r="P31" s="1"/>
    </row>
    <row r="32" spans="1:30" ht="14.45" hidden="1" x14ac:dyDescent="0.5">
      <c r="A32">
        <v>1</v>
      </c>
      <c r="C32" t="s">
        <v>79</v>
      </c>
      <c r="D32" s="1">
        <f>IF($F$10&gt;$R$13,$F$10-$R$13,0)</f>
        <v>6</v>
      </c>
      <c r="E32" s="36">
        <f>IF($H$10&gt;$R$13,$H$10-$R$13,0)</f>
        <v>0</v>
      </c>
      <c r="F32" s="36">
        <f>IF($K$10&gt;$R$13,$K$10-$R$13,0)</f>
        <v>0</v>
      </c>
      <c r="G32" s="36"/>
      <c r="H32" s="1">
        <v>0</v>
      </c>
      <c r="I32" s="1">
        <v>0</v>
      </c>
      <c r="J32" s="1">
        <v>0</v>
      </c>
      <c r="L32" s="1">
        <v>0.75</v>
      </c>
      <c r="M32" s="1">
        <v>0.75</v>
      </c>
      <c r="N32"/>
      <c r="P32" s="1"/>
    </row>
    <row r="33" spans="1:16" ht="14.45" hidden="1" x14ac:dyDescent="0.5">
      <c r="A33">
        <v>2</v>
      </c>
      <c r="C33" t="s">
        <v>80</v>
      </c>
      <c r="D33" s="1">
        <f t="shared" ref="D33:D38" si="1">IF($F$10&gt;$R$13,$F$10-$R$13,0)</f>
        <v>6</v>
      </c>
      <c r="E33" s="36">
        <f t="shared" ref="E33:E38" si="2">IF($H$10&gt;$R$13,$H$10-$R$13,0)</f>
        <v>0</v>
      </c>
      <c r="F33" s="36">
        <f t="shared" ref="F33:F38" si="3">IF($K$10&gt;$R$13,$K$10-$R$13,0)</f>
        <v>0</v>
      </c>
      <c r="G33" s="36"/>
      <c r="H33" s="1">
        <v>0</v>
      </c>
      <c r="I33" s="1">
        <v>0</v>
      </c>
      <c r="J33" s="1">
        <v>0</v>
      </c>
      <c r="L33" s="1">
        <v>0.85</v>
      </c>
      <c r="M33" s="1">
        <v>0.8</v>
      </c>
      <c r="N33"/>
      <c r="P33" s="1"/>
    </row>
    <row r="34" spans="1:16" ht="14.45" hidden="1" x14ac:dyDescent="0.5">
      <c r="A34">
        <v>3</v>
      </c>
      <c r="C34" t="s">
        <v>82</v>
      </c>
      <c r="D34" s="1">
        <f t="shared" si="1"/>
        <v>6</v>
      </c>
      <c r="E34" s="36">
        <f t="shared" si="2"/>
        <v>0</v>
      </c>
      <c r="F34" s="36">
        <f t="shared" si="3"/>
        <v>0</v>
      </c>
      <c r="G34" s="1"/>
      <c r="H34" s="1">
        <v>0</v>
      </c>
      <c r="I34" s="1">
        <v>0</v>
      </c>
      <c r="J34" s="1">
        <v>0</v>
      </c>
      <c r="K34" s="50"/>
      <c r="L34" s="1">
        <v>1</v>
      </c>
      <c r="M34" s="1">
        <v>0.9</v>
      </c>
      <c r="N34"/>
      <c r="P34" s="1"/>
    </row>
    <row r="35" spans="1:16" ht="14.45" hidden="1" x14ac:dyDescent="0.5">
      <c r="A35">
        <v>4</v>
      </c>
      <c r="C35" t="s">
        <v>81</v>
      </c>
      <c r="D35" s="1">
        <f t="shared" si="1"/>
        <v>6</v>
      </c>
      <c r="E35" s="36">
        <f t="shared" si="2"/>
        <v>0</v>
      </c>
      <c r="F35" s="36">
        <f t="shared" si="3"/>
        <v>0</v>
      </c>
      <c r="G35" s="1"/>
      <c r="H35" s="1">
        <v>0</v>
      </c>
      <c r="I35" s="1">
        <v>0</v>
      </c>
      <c r="J35" s="1">
        <v>0</v>
      </c>
      <c r="K35" s="50"/>
      <c r="L35" s="1">
        <v>1</v>
      </c>
      <c r="M35" s="1">
        <v>1</v>
      </c>
      <c r="N35"/>
      <c r="P35" s="1"/>
    </row>
    <row r="36" spans="1:16" ht="14.45" hidden="1" x14ac:dyDescent="0.5">
      <c r="A36">
        <v>5</v>
      </c>
      <c r="C36" t="s">
        <v>83</v>
      </c>
      <c r="D36" s="1">
        <f t="shared" si="1"/>
        <v>6</v>
      </c>
      <c r="E36" s="36">
        <f t="shared" si="2"/>
        <v>0</v>
      </c>
      <c r="F36" s="36">
        <f t="shared" si="3"/>
        <v>0</v>
      </c>
      <c r="G36" s="1"/>
      <c r="H36" s="1">
        <v>0</v>
      </c>
      <c r="I36" s="1">
        <v>0</v>
      </c>
      <c r="J36" s="1">
        <v>0</v>
      </c>
      <c r="L36" s="1">
        <v>0.7</v>
      </c>
      <c r="M36" s="1">
        <v>0.7</v>
      </c>
      <c r="N36"/>
      <c r="P36" s="1"/>
    </row>
    <row r="37" spans="1:16" ht="14.45" hidden="1" x14ac:dyDescent="0.5">
      <c r="A37">
        <v>6</v>
      </c>
      <c r="C37" t="s">
        <v>84</v>
      </c>
      <c r="D37" s="1">
        <f t="shared" si="1"/>
        <v>6</v>
      </c>
      <c r="E37" s="36">
        <f t="shared" si="2"/>
        <v>0</v>
      </c>
      <c r="F37" s="36">
        <f t="shared" si="3"/>
        <v>0</v>
      </c>
      <c r="H37" s="1">
        <v>0</v>
      </c>
      <c r="I37" s="1">
        <v>0</v>
      </c>
      <c r="J37" s="1">
        <v>0</v>
      </c>
      <c r="L37" s="1">
        <v>0.85</v>
      </c>
      <c r="M37" s="1">
        <v>0.85</v>
      </c>
      <c r="N37"/>
      <c r="P37" s="1"/>
    </row>
    <row r="38" spans="1:16" ht="14.45" hidden="1" x14ac:dyDescent="0.5">
      <c r="A38">
        <v>7</v>
      </c>
      <c r="C38" t="s">
        <v>85</v>
      </c>
      <c r="D38" s="1">
        <f t="shared" si="1"/>
        <v>6</v>
      </c>
      <c r="E38" s="36">
        <f t="shared" si="2"/>
        <v>0</v>
      </c>
      <c r="F38" s="36">
        <f t="shared" si="3"/>
        <v>0</v>
      </c>
      <c r="H38" s="1">
        <v>0</v>
      </c>
      <c r="I38" s="1">
        <v>0</v>
      </c>
      <c r="J38" s="1">
        <v>0</v>
      </c>
      <c r="L38" s="1">
        <v>1</v>
      </c>
      <c r="M38" s="1">
        <v>1</v>
      </c>
      <c r="N38"/>
      <c r="P38" s="1"/>
    </row>
    <row r="39" spans="1:16" ht="14.45" hidden="1" x14ac:dyDescent="0.5">
      <c r="D39" s="1">
        <f>VLOOKUP($G$5,$C$32:D$38,2,FALSE)</f>
        <v>6</v>
      </c>
      <c r="E39" s="1">
        <f>VLOOKUP($G$5,$C$32:E$38,3,FALSE)</f>
        <v>0</v>
      </c>
      <c r="F39" s="1">
        <f>VLOOKUP($G$5,$C$32:F$38,4,FALSE)</f>
        <v>0</v>
      </c>
      <c r="H39" s="1">
        <v>0</v>
      </c>
      <c r="I39" s="1">
        <v>0</v>
      </c>
      <c r="J39" s="1">
        <v>0</v>
      </c>
      <c r="L39" s="1">
        <f>VLOOKUP($G$5,$C$32:L$38,10,FALSE)</f>
        <v>1</v>
      </c>
      <c r="M39" s="1">
        <f>VLOOKUP($G$5,$C$32:M$38,11,FALSE)</f>
        <v>1</v>
      </c>
      <c r="N39"/>
      <c r="P39" s="1"/>
    </row>
    <row r="40" spans="1:16" ht="14.45" hidden="1" x14ac:dyDescent="0.5">
      <c r="C40" t="s">
        <v>26</v>
      </c>
      <c r="D40" s="216" t="s">
        <v>86</v>
      </c>
      <c r="E40" s="216"/>
      <c r="F40" s="216"/>
      <c r="H40" s="216" t="s">
        <v>89</v>
      </c>
      <c r="I40" s="216"/>
      <c r="J40" s="216"/>
      <c r="L40" s="1" t="s">
        <v>92</v>
      </c>
      <c r="M40" s="1" t="s">
        <v>93</v>
      </c>
      <c r="N40"/>
      <c r="P40" s="1"/>
    </row>
    <row r="41" spans="1:16" ht="14.45" hidden="1" x14ac:dyDescent="0.5">
      <c r="C41" t="s">
        <v>27</v>
      </c>
      <c r="N41"/>
      <c r="P41" s="1"/>
    </row>
    <row r="42" spans="1:16" ht="14.45" hidden="1" x14ac:dyDescent="0.5">
      <c r="C42" t="s">
        <v>28</v>
      </c>
      <c r="G42" t="s">
        <v>91</v>
      </c>
      <c r="H42" s="1">
        <f>IF($J$5=$C$44,D39,H39)</f>
        <v>6</v>
      </c>
      <c r="I42" s="1">
        <f t="shared" ref="I42:J42" si="4">IF($J$5=$C$44,E39,I39)</f>
        <v>0</v>
      </c>
      <c r="J42" s="1">
        <f t="shared" si="4"/>
        <v>0</v>
      </c>
      <c r="L42" s="1">
        <f>IF($J$5=$C$46,M39,L39)</f>
        <v>1</v>
      </c>
    </row>
    <row r="43" spans="1:16" ht="14.45" hidden="1" x14ac:dyDescent="0.5">
      <c r="C43" t="s">
        <v>29</v>
      </c>
    </row>
    <row r="44" spans="1:16" ht="14.45" hidden="1" x14ac:dyDescent="0.5">
      <c r="C44" t="s">
        <v>86</v>
      </c>
    </row>
    <row r="45" spans="1:16" ht="14.45" hidden="1" x14ac:dyDescent="0.5">
      <c r="C45" t="s">
        <v>87</v>
      </c>
    </row>
    <row r="46" spans="1:16" ht="14.45" hidden="1" x14ac:dyDescent="0.5">
      <c r="C46" t="s">
        <v>88</v>
      </c>
      <c r="D46" s="82" t="s">
        <v>67</v>
      </c>
      <c r="G46" s="35" t="s">
        <v>50</v>
      </c>
      <c r="H46" s="35" t="s">
        <v>32</v>
      </c>
      <c r="I46" s="35" t="s">
        <v>34</v>
      </c>
    </row>
    <row r="47" spans="1:16" ht="12.4" hidden="1" customHeight="1" x14ac:dyDescent="0.5">
      <c r="C47" t="s">
        <v>44</v>
      </c>
      <c r="D47" s="36">
        <f>F19</f>
        <v>0</v>
      </c>
      <c r="E47" s="75">
        <f>(D47*G47/113)+(H47-I47)</f>
        <v>-4.2999999999999972</v>
      </c>
      <c r="F47" s="91">
        <f>I56</f>
        <v>-4</v>
      </c>
      <c r="G47">
        <f>IF(F21=C51,F11,IF(F21=C52,H11,K11))</f>
        <v>113</v>
      </c>
      <c r="H47">
        <f>IF(F21=C51,F9,IF(F21=C52,H9,K9))</f>
        <v>70.7</v>
      </c>
      <c r="I47">
        <f>IF(F21=C51,F10,IF(F21=C52,H10,K10))</f>
        <v>75</v>
      </c>
    </row>
    <row r="48" spans="1:16" ht="14.45" hidden="1" x14ac:dyDescent="0.5">
      <c r="C48" t="s">
        <v>41</v>
      </c>
      <c r="D48" s="36">
        <f>H19</f>
        <v>20.7</v>
      </c>
      <c r="E48" s="75">
        <f>(D48*G48/113)+(H48-I48)</f>
        <v>20.382300884955757</v>
      </c>
      <c r="F48" s="91">
        <f>J56</f>
        <v>20</v>
      </c>
      <c r="G48">
        <f>IF(H21=C51,F11,IF(H21=C52,H11,K11))</f>
        <v>120</v>
      </c>
      <c r="H48">
        <f>IF(H21=C51,F9,IF(H21=C52,H9,K9))</f>
        <v>67.400000000000006</v>
      </c>
      <c r="I48">
        <f>IF(H21=C51,F10,IF(H21=C52,H10,K10))</f>
        <v>69</v>
      </c>
    </row>
    <row r="49" spans="3:12" ht="14.45" hidden="1" x14ac:dyDescent="0.5">
      <c r="C49" t="s">
        <v>42</v>
      </c>
      <c r="D49" s="36">
        <f>K19</f>
        <v>20.6</v>
      </c>
      <c r="E49" s="75">
        <f>(D49*G49/113)+(H49-I49)</f>
        <v>16.300000000000004</v>
      </c>
      <c r="F49" s="91">
        <f>K56</f>
        <v>16</v>
      </c>
      <c r="G49">
        <f>IF(K21=C51,F11,IF(K21=C52,H11,K11))</f>
        <v>113</v>
      </c>
      <c r="H49">
        <f>IF(K21=C51,F9,IF(K21=C52,H9,K9))</f>
        <v>70.7</v>
      </c>
      <c r="I49">
        <f>IF(K21=C51,F10,IF(K21=C52,H10,K10))</f>
        <v>75</v>
      </c>
    </row>
    <row r="50" spans="3:12" ht="14.45" hidden="1" x14ac:dyDescent="0.5">
      <c r="C50" t="s">
        <v>43</v>
      </c>
      <c r="D50" s="36">
        <f>N19</f>
        <v>16.399999999999999</v>
      </c>
      <c r="E50" s="75">
        <f>(D50*G50/113)+(H50-I50)</f>
        <v>15.815929203539827</v>
      </c>
      <c r="F50" s="91">
        <f>L56</f>
        <v>16</v>
      </c>
      <c r="G50">
        <f>IF(N21=C51,F11,IF(N21=C52,H11,K11))</f>
        <v>120</v>
      </c>
      <c r="H50">
        <f>IF(N21=C51,F9,IF(N21=C52,H9,K9))</f>
        <v>67.400000000000006</v>
      </c>
      <c r="I50">
        <f>IF(N21=C51,F10,IF(N21=C52,H10,K10))</f>
        <v>69</v>
      </c>
    </row>
    <row r="51" spans="3:12" ht="14.45" hidden="1" x14ac:dyDescent="0.5">
      <c r="C51" t="s">
        <v>45</v>
      </c>
    </row>
    <row r="52" spans="3:12" ht="14.45" hidden="1" x14ac:dyDescent="0.5">
      <c r="C52" t="s">
        <v>46</v>
      </c>
      <c r="I52" t="s">
        <v>44</v>
      </c>
      <c r="J52" t="s">
        <v>41</v>
      </c>
      <c r="K52" t="s">
        <v>42</v>
      </c>
      <c r="L52" t="s">
        <v>43</v>
      </c>
    </row>
    <row r="53" spans="3:12" ht="14.45" hidden="1" x14ac:dyDescent="0.5">
      <c r="C53" t="s">
        <v>47</v>
      </c>
      <c r="G53" s="35" t="s">
        <v>73</v>
      </c>
      <c r="H53" s="97" t="s">
        <v>121</v>
      </c>
      <c r="I53" s="120">
        <f>(D47*G47/113)+(H47-I47)</f>
        <v>-4.2999999999999972</v>
      </c>
      <c r="J53" s="120">
        <f>(D48*G48/113)+(H48-I48)</f>
        <v>20.382300884955757</v>
      </c>
      <c r="K53" s="120">
        <f>(D49*G49/113)+(H49-I49)</f>
        <v>16.300000000000004</v>
      </c>
      <c r="L53" s="120">
        <f>(D50*G50/113)+(H50-I50)</f>
        <v>15.815929203539827</v>
      </c>
    </row>
    <row r="54" spans="3:12" ht="14.45" hidden="1" x14ac:dyDescent="0.5">
      <c r="I54" s="120">
        <f>IF(I53&lt;0,I53*-1,I53)</f>
        <v>4.2999999999999972</v>
      </c>
      <c r="J54" s="120">
        <f>IF(J53&lt;0,J53*-1,J53)</f>
        <v>20.382300884955757</v>
      </c>
      <c r="K54" s="120">
        <f>IF(K53&lt;0,K53*-1,K53)</f>
        <v>16.300000000000004</v>
      </c>
      <c r="L54" s="120">
        <f>IF(L53&lt;0,L53*-1,L53)</f>
        <v>15.815929203539827</v>
      </c>
    </row>
    <row r="55" spans="3:12" ht="14.45" hidden="1" x14ac:dyDescent="0.5">
      <c r="I55" s="120">
        <f>IF(I54-INT(I54)=0.5,IF(I53&lt;0,I53+0.001,I53),I53)</f>
        <v>-4.2999999999999972</v>
      </c>
      <c r="J55" s="120">
        <f>IF(J54-INT(J54)=0.5,IF(J53&lt;0,J53+0.001,J53),J53)</f>
        <v>20.382300884955757</v>
      </c>
      <c r="K55" s="120">
        <f>IF(K54-INT(K54)=0.5,IF(K53&lt;0,K53+0.001,K53),K53)</f>
        <v>16.300000000000004</v>
      </c>
      <c r="L55" s="120">
        <f>IF(L54-INT(L54)=0.5,IF(L53&lt;0,L53+0.001,L53),L53)</f>
        <v>15.815929203539827</v>
      </c>
    </row>
    <row r="56" spans="3:12" ht="14.45" hidden="1" x14ac:dyDescent="0.5">
      <c r="H56" t="s">
        <v>94</v>
      </c>
      <c r="I56" s="91">
        <f>ROUND(I55,0)</f>
        <v>-4</v>
      </c>
      <c r="J56" s="91">
        <f>ROUND(J55,0)</f>
        <v>20</v>
      </c>
      <c r="K56" s="91">
        <f>ROUND(K55,0)</f>
        <v>16</v>
      </c>
      <c r="L56" s="91">
        <f>ROUND(L55,0)</f>
        <v>16</v>
      </c>
    </row>
    <row r="57" spans="3:12" ht="14.45" hidden="1" x14ac:dyDescent="0.5">
      <c r="I57" s="120">
        <f>I53</f>
        <v>-4.2999999999999972</v>
      </c>
      <c r="J57" s="120">
        <f>J53</f>
        <v>20.382300884955757</v>
      </c>
      <c r="K57" s="120">
        <f>K53</f>
        <v>16.300000000000004</v>
      </c>
      <c r="L57" s="120">
        <f>L53</f>
        <v>15.815929203539827</v>
      </c>
    </row>
    <row r="58" spans="3:12" ht="14.45" hidden="1" x14ac:dyDescent="0.5"/>
    <row r="59" spans="3:12" ht="14.45" hidden="1" x14ac:dyDescent="0.5">
      <c r="I59" s="35" t="s">
        <v>19</v>
      </c>
    </row>
    <row r="60" spans="3:12" ht="14.45" hidden="1" x14ac:dyDescent="0.5"/>
    <row r="61" spans="3:12" ht="14.45" hidden="1" x14ac:dyDescent="0.5">
      <c r="G61" s="92">
        <f>I24</f>
        <v>1</v>
      </c>
      <c r="I61" s="75">
        <f>F24+F25</f>
        <v>1.7000000000000028</v>
      </c>
      <c r="J61" s="75">
        <f>H24+H25</f>
        <v>20.382300884955757</v>
      </c>
      <c r="K61" s="75">
        <f>K24+K25</f>
        <v>22.300000000000004</v>
      </c>
      <c r="L61" s="75">
        <f>N24+N25</f>
        <v>15.815929203539827</v>
      </c>
    </row>
    <row r="62" spans="3:12" ht="14.45" hidden="1" x14ac:dyDescent="0.5">
      <c r="I62" s="75">
        <f>IF(I61&lt;0,ROUND(I61*-1,3),ROUND(I61,3))</f>
        <v>1.7</v>
      </c>
      <c r="J62" s="75">
        <f>IF(J61&lt;0,ROUND(J61*-1,3),ROUND(J61,3))</f>
        <v>20.382000000000001</v>
      </c>
      <c r="K62" s="75">
        <f>IF(K61&lt;0,ROUND(K61*-1,3),ROUND(K61,3))</f>
        <v>22.3</v>
      </c>
      <c r="L62" s="75">
        <f>IF(L61&lt;0,ROUND(L61*-1,3),ROUND(L61,3))</f>
        <v>15.816000000000001</v>
      </c>
    </row>
    <row r="63" spans="3:12" ht="14.45" hidden="1" x14ac:dyDescent="0.5">
      <c r="I63" s="75">
        <f>IF(I62-INT(I62)=0.5,IF(I61&lt;0,I61+0.001,I61),I61)</f>
        <v>1.7000000000000028</v>
      </c>
      <c r="J63" s="75">
        <f>IF(J62-INT(J62)=0.5,IF(J61&lt;0,J61+0.001,J61),J61)</f>
        <v>20.382300884955757</v>
      </c>
      <c r="K63" s="75">
        <f>IF(K62-INT(K62)=0.5,IF(K61&lt;0,K61+0.001,K61),K61)</f>
        <v>22.300000000000004</v>
      </c>
      <c r="L63" s="75">
        <f>IF(L62-INT(L62)=0.5,IF(L61&lt;0,L61+0.001,L61),L61)</f>
        <v>15.815929203539827</v>
      </c>
    </row>
    <row r="64" spans="3:12" ht="14.45" hidden="1" x14ac:dyDescent="0.5">
      <c r="I64">
        <f>ROUND(I63,0)</f>
        <v>2</v>
      </c>
      <c r="J64">
        <f>ROUND(J63,0)</f>
        <v>20</v>
      </c>
      <c r="K64">
        <f>ROUND(K63,0)</f>
        <v>22</v>
      </c>
      <c r="L64">
        <f>ROUND(L63,0)</f>
        <v>16</v>
      </c>
    </row>
  </sheetData>
  <sheetProtection algorithmName="SHA-512" hashValue="cHTfDt6pT/RmovOLDGQH2ThDZAgxrblNkEaSdkt+cXEXGmF4t3DYsvNegNf656OnTyKI74lTNFqiaSju4aXlsg==" saltValue="REkrxIUvzhivdxK4+mcLDQ==" spinCount="100000" sheet="1" selectLockedCells="1"/>
  <mergeCells count="11">
    <mergeCell ref="V26:W26"/>
    <mergeCell ref="L27:M27"/>
    <mergeCell ref="C30:O30"/>
    <mergeCell ref="D40:F40"/>
    <mergeCell ref="H40:J40"/>
    <mergeCell ref="R26:S26"/>
    <mergeCell ref="C2:D2"/>
    <mergeCell ref="C3:D3"/>
    <mergeCell ref="G3:H3"/>
    <mergeCell ref="C5:D5"/>
    <mergeCell ref="G5:H5"/>
  </mergeCells>
  <conditionalFormatting sqref="D27:F27">
    <cfRule type="expression" dxfId="5" priority="17">
      <formula>$G$5="Individual Medal (Scratch)"</formula>
    </cfRule>
  </conditionalFormatting>
  <conditionalFormatting sqref="E27:F27">
    <cfRule type="expression" priority="16">
      <formula>$G$5="Individual Medal (Scratch)"</formula>
    </cfRule>
  </conditionalFormatting>
  <conditionalFormatting sqref="H27">
    <cfRule type="expression" priority="14">
      <formula>$G$5="Individual Medal (Scratch)"</formula>
    </cfRule>
    <cfRule type="expression" dxfId="4" priority="15">
      <formula>$G$5="Individual Medal (Scratch)"</formula>
    </cfRule>
  </conditionalFormatting>
  <conditionalFormatting sqref="K27">
    <cfRule type="expression" priority="12">
      <formula>$G$5="Individual Medal (Scratch)"</formula>
    </cfRule>
    <cfRule type="expression" dxfId="3" priority="13">
      <formula>$G$5="Individual Medal (Scratch)"</formula>
    </cfRule>
  </conditionalFormatting>
  <conditionalFormatting sqref="N17:O27">
    <cfRule type="expression" dxfId="2" priority="1">
      <formula>$G$5=$C$38</formula>
    </cfRule>
    <cfRule type="expression" dxfId="1" priority="2">
      <formula>$G$5=$C$37</formula>
    </cfRule>
    <cfRule type="expression" dxfId="0" priority="3">
      <formula>$G$5=$C$36</formula>
    </cfRule>
  </conditionalFormatting>
  <dataValidations count="3">
    <dataValidation type="list" allowBlank="1" showInputMessage="1" showErrorMessage="1" sqref="G5:H5">
      <formula1>$C$32:$C$38</formula1>
    </dataValidation>
    <dataValidation type="list" allowBlank="1" showInputMessage="1" showErrorMessage="1" sqref="J5">
      <formula1>$C$44:$C$46</formula1>
    </dataValidation>
    <dataValidation type="list" allowBlank="1" showInputMessage="1" showErrorMessage="1" sqref="F21 H21 K21 N21">
      <formula1>$C$51:$C$53</formula1>
    </dataValidation>
  </dataValidations>
  <pageMargins left="0.7" right="0.7" top="0.75" bottom="0.75" header="0.3" footer="0.3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Change Log</vt:lpstr>
      <vt:lpstr>Instructions</vt:lpstr>
      <vt:lpstr>18 Holes - 2 Tees</vt:lpstr>
      <vt:lpstr>18 Holes - 3 Tees</vt:lpstr>
      <vt:lpstr>9 Holes - 2 Tees</vt:lpstr>
      <vt:lpstr>Fourball Match Play</vt:lpstr>
      <vt:lpstr>Foursomes Greensomes</vt:lpstr>
      <vt:lpstr>Scrambles</vt:lpstr>
      <vt:lpstr>Team Competitions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 Fisher</dc:creator>
  <cp:lastModifiedBy>MSL000071-User</cp:lastModifiedBy>
  <cp:lastPrinted>2017-05-18T10:37:57Z</cp:lastPrinted>
  <dcterms:created xsi:type="dcterms:W3CDTF">2014-01-14T11:14:11Z</dcterms:created>
  <dcterms:modified xsi:type="dcterms:W3CDTF">2025-03-14T16:08:03Z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8d81ebde-b093-4b89-9be9-5dcc83ba689e</vt:lpwstr>
  </property>
</Properties>
</file>